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HarjotSingh\Downloads\deploy-68969633c7658b526efc433f\assets\"/>
    </mc:Choice>
  </mc:AlternateContent>
  <xr:revisionPtr revIDLastSave="0" documentId="13_ncr:1_{3A812C33-2371-4DD9-8058-F5072221FE74}" xr6:coauthVersionLast="47" xr6:coauthVersionMax="47" xr10:uidLastSave="{00000000-0000-0000-0000-000000000000}"/>
  <bookViews>
    <workbookView xWindow="-120" yWindow="-120" windowWidth="29040" windowHeight="15720" xr2:uid="{5A490EF5-7F45-4600-A22A-03B1475464B9}"/>
  </bookViews>
  <sheets>
    <sheet name="Sheet1" sheetId="1" r:id="rId1"/>
  </sheets>
  <definedNames>
    <definedName name="_xlnm.Print_Area" localSheetId="0">Sheet1!$A$1:$I$115</definedName>
    <definedName name="_xlnm.Print_Titles" localSheetId="0">Sheet1!$1:$3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5" i="1" l="1"/>
  <c r="G93" i="1"/>
  <c r="G84" i="1"/>
  <c r="F75" i="1" s="1"/>
  <c r="F84" i="1"/>
  <c r="C75" i="1" s="1"/>
  <c r="G75" i="1"/>
  <c r="D76" i="1"/>
  <c r="G108" i="1" l="1"/>
  <c r="G88" i="1"/>
  <c r="D88" i="1" s="1"/>
  <c r="F83" i="1"/>
  <c r="G83" i="1"/>
  <c r="G90" i="1" l="1"/>
  <c r="G91" i="1"/>
  <c r="G94" i="1" l="1"/>
  <c r="B99" i="1" l="1" a="1"/>
  <c r="B99" i="1" s="1"/>
  <c r="B98" i="1"/>
  <c r="H99" i="1" a="1"/>
  <c r="H99" i="1" s="1"/>
  <c r="D98" i="1"/>
  <c r="C98" i="1"/>
  <c r="E99" i="1" a="1"/>
  <c r="E99" i="1" s="1"/>
  <c r="C99" i="1" a="1"/>
  <c r="C99" i="1" s="1"/>
  <c r="I98" i="1"/>
  <c r="H98" i="1"/>
  <c r="I99" i="1" a="1"/>
  <c r="I99" i="1" s="1"/>
  <c r="E98" i="1"/>
  <c r="G99" i="1" a="1"/>
  <c r="G99" i="1" s="1"/>
  <c r="G98" i="1"/>
  <c r="F99" i="1" a="1"/>
  <c r="F99" i="1" s="1"/>
  <c r="F98" i="1"/>
  <c r="D99" i="1" a="1"/>
  <c r="D99" i="1" s="1"/>
  <c r="H100" i="1" l="1"/>
  <c r="H101" i="1" s="1"/>
  <c r="E100" i="1"/>
  <c r="E101" i="1" s="1"/>
  <c r="G113" i="1" s="1"/>
  <c r="I100" i="1"/>
  <c r="I101" i="1" s="1"/>
  <c r="G104" i="1" s="1"/>
  <c r="F100" i="1"/>
  <c r="F101" i="1" s="1"/>
  <c r="C100" i="1"/>
  <c r="C101" i="1" s="1"/>
  <c r="D100" i="1"/>
  <c r="D101" i="1" s="1"/>
  <c r="G100" i="1"/>
  <c r="G101" i="1" s="1"/>
  <c r="G106" i="1" l="1"/>
  <c r="G111" i="1"/>
  <c r="D7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<sst xmlns="http://schemas.openxmlformats.org/spreadsheetml/2006/main" count="91" uniqueCount="74">
  <si>
    <t>http://www.bom.gov.au/water/designRainfalls/revised-ifd/?year=2016&amp;coordinate_type=dd&amp;latitude=-36.138&amp;longitude=144.734&amp;sdmin=true&amp;sdhr=true&amp;sdday=true&amp;user_label=</t>
  </si>
  <si>
    <t>Label:</t>
  </si>
  <si>
    <t>Latitude:</t>
  </si>
  <si>
    <t>-36.138 [Nearest grid cell: 36.1375 (S)]</t>
  </si>
  <si>
    <t>Longitude:</t>
  </si>
  <si>
    <t>144.734 [Nearest grid cell: 144.7375 (E)]</t>
  </si>
  <si>
    <t>Duration</t>
  </si>
  <si>
    <t>50%#</t>
  </si>
  <si>
    <t>20%*</t>
  </si>
  <si>
    <t>Highest Point Chainage</t>
  </si>
  <si>
    <t>m</t>
  </si>
  <si>
    <t>Lowest Point chainage</t>
  </si>
  <si>
    <t>S</t>
  </si>
  <si>
    <t>m/km</t>
  </si>
  <si>
    <t>Y (Years)</t>
  </si>
  <si>
    <t>Rain mm/h</t>
  </si>
  <si>
    <t>=</t>
  </si>
  <si>
    <t>mm/h</t>
  </si>
  <si>
    <t>ARI</t>
  </si>
  <si>
    <t>Priority C</t>
  </si>
  <si>
    <t>Years</t>
  </si>
  <si>
    <t>Area of Catchment</t>
  </si>
  <si>
    <t>A</t>
  </si>
  <si>
    <t>ha</t>
  </si>
  <si>
    <t>minutes</t>
  </si>
  <si>
    <t>conversion factor</t>
  </si>
  <si>
    <t>k</t>
  </si>
  <si>
    <t>Point Rainfall Data Near Echuca Victoria</t>
  </si>
  <si>
    <t>Prepared By 
Harjot Singh</t>
  </si>
  <si>
    <t>Reviewed by</t>
  </si>
  <si>
    <t>Reviewed On</t>
  </si>
  <si>
    <t>Rev R0</t>
  </si>
  <si>
    <t>Shiva Ranjit</t>
  </si>
  <si>
    <t>How to Use:</t>
  </si>
  <si>
    <t>1. Navigate to the input worksheet and enter values in the Orange cells.</t>
  </si>
  <si>
    <t>3. Cross-check results with relevant Austroads standards before application.</t>
  </si>
  <si>
    <t>4. Do not modify locked/protected cells to ensure formulas remain intact.</t>
  </si>
  <si>
    <t>5. Cells - Prepared by, Reviewed by, Reviewed dates, Revision and Document no are editable</t>
  </si>
  <si>
    <t>Disclaimer:</t>
  </si>
  <si>
    <t>This tool is provided by HNR Associates for educational and reference purposes only. Users must validate outputs against the latest standards and project requirements. HNR Associates is not responsible for any misuse or misinterpretation of the results.</t>
  </si>
  <si>
    <t>HNR Associates Engineering Resource
Resource Title:: 
Discharge Calculations</t>
  </si>
  <si>
    <t>Document - DDischarge_Gen03</t>
  </si>
  <si>
    <r>
      <t>F</t>
    </r>
    <r>
      <rPr>
        <vertAlign val="subscript"/>
        <sz val="9"/>
        <color theme="1"/>
        <rFont val="Calibri"/>
        <family val="2"/>
      </rPr>
      <t>Y</t>
    </r>
  </si>
  <si>
    <r>
      <t>F</t>
    </r>
    <r>
      <rPr>
        <vertAlign val="subscript"/>
        <sz val="9"/>
        <color theme="1"/>
        <rFont val="Calibri"/>
        <family val="2"/>
      </rPr>
      <t>Y</t>
    </r>
    <r>
      <rPr>
        <sz val="9"/>
        <color theme="1"/>
        <rFont val="Calibri"/>
        <family val="2"/>
      </rPr>
      <t xml:space="preserve"> I</t>
    </r>
    <r>
      <rPr>
        <vertAlign val="subscript"/>
        <sz val="9"/>
        <color theme="1"/>
        <rFont val="Calibri"/>
        <family val="2"/>
      </rPr>
      <t>t</t>
    </r>
  </si>
  <si>
    <r>
      <t>I</t>
    </r>
    <r>
      <rPr>
        <vertAlign val="subscript"/>
        <sz val="9"/>
        <color theme="1"/>
        <rFont val="Calibri"/>
        <family val="2"/>
      </rPr>
      <t>100</t>
    </r>
  </si>
  <si>
    <r>
      <t>I</t>
    </r>
    <r>
      <rPr>
        <vertAlign val="subscript"/>
        <sz val="9"/>
        <color theme="1"/>
        <rFont val="Calibri"/>
        <family val="2"/>
      </rPr>
      <t>N</t>
    </r>
  </si>
  <si>
    <r>
      <t>I</t>
    </r>
    <r>
      <rPr>
        <vertAlign val="subscript"/>
        <sz val="9"/>
        <color theme="1"/>
        <rFont val="Calibri"/>
        <family val="2"/>
      </rPr>
      <t>gap</t>
    </r>
  </si>
  <si>
    <r>
      <t>m</t>
    </r>
    <r>
      <rPr>
        <vertAlign val="superscript"/>
        <sz val="9"/>
        <color theme="1"/>
        <rFont val="Calibri"/>
        <family val="2"/>
      </rPr>
      <t>2</t>
    </r>
  </si>
  <si>
    <r>
      <t>km</t>
    </r>
    <r>
      <rPr>
        <vertAlign val="superscript"/>
        <sz val="9"/>
        <color theme="1"/>
        <rFont val="Calibri"/>
        <family val="2"/>
      </rPr>
      <t>2</t>
    </r>
  </si>
  <si>
    <r>
      <t>for area in m</t>
    </r>
    <r>
      <rPr>
        <vertAlign val="superscript"/>
        <sz val="9"/>
        <color theme="1"/>
        <rFont val="Calibri"/>
        <family val="2"/>
      </rPr>
      <t>2</t>
    </r>
  </si>
  <si>
    <r>
      <t>Run of Coefficient from Road C</t>
    </r>
    <r>
      <rPr>
        <vertAlign val="subscript"/>
        <sz val="9"/>
        <color theme="1"/>
        <rFont val="Calibri"/>
        <family val="2"/>
      </rPr>
      <t>Y</t>
    </r>
  </si>
  <si>
    <r>
      <t>I</t>
    </r>
    <r>
      <rPr>
        <vertAlign val="subscript"/>
        <sz val="9"/>
        <color theme="1"/>
        <rFont val="Calibri"/>
        <family val="2"/>
      </rPr>
      <t>tc,Y</t>
    </r>
  </si>
  <si>
    <r>
      <t>Q</t>
    </r>
    <r>
      <rPr>
        <vertAlign val="subscript"/>
        <sz val="9"/>
        <color theme="1"/>
        <rFont val="Calibri"/>
        <family val="2"/>
      </rPr>
      <t>Y</t>
    </r>
  </si>
  <si>
    <r>
      <t>m</t>
    </r>
    <r>
      <rPr>
        <vertAlign val="superscript"/>
        <sz val="9"/>
        <color theme="1"/>
        <rFont val="Calibri"/>
        <family val="2"/>
      </rPr>
      <t>3</t>
    </r>
    <r>
      <rPr>
        <sz val="9"/>
        <color theme="1"/>
        <rFont val="Calibri"/>
        <family val="2"/>
      </rPr>
      <t>/s</t>
    </r>
  </si>
  <si>
    <t>Download Rainfall Data from BOM Sample Data shown here for format only:-</t>
  </si>
  <si>
    <t xml:space="preserve">2. Review the calculated outputs </t>
  </si>
  <si>
    <t>63.20%</t>
  </si>
  <si>
    <t>10%</t>
  </si>
  <si>
    <t>5%</t>
  </si>
  <si>
    <t>2%</t>
  </si>
  <si>
    <t>1%</t>
  </si>
  <si>
    <t>Catchment Flow diagram</t>
  </si>
  <si>
    <t xml:space="preserve">Peak Catchment discharge  </t>
  </si>
  <si>
    <t>Rain =</t>
  </si>
  <si>
    <t>Annual Exceedance Probability (AEP) mm/h</t>
  </si>
  <si>
    <t>Time of Concentration (Manual Input)</t>
  </si>
  <si>
    <t>Bransby-Willams</t>
  </si>
  <si>
    <t xml:space="preserve">Left </t>
  </si>
  <si>
    <t>Right</t>
  </si>
  <si>
    <t>Time of Concentration from Left to Sag</t>
  </si>
  <si>
    <t>Time of Concentration from Right to Sag</t>
  </si>
  <si>
    <t>In case above 2 values not give real time</t>
  </si>
  <si>
    <t>Time of Concentration used in calculations</t>
  </si>
  <si>
    <t>Climate Change Factor on minor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</si>
</sst>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
    <numFmt numFmtId="165" formatCode="0.0000"/>
    <numFmt numFmtId="166" formatCode="&quot;CH&quot;\ 0"/>
    <numFmt numFmtId="167" formatCode="&quot;CH&quot;\ 0.0"/>
    <numFmt numFmtId="168" formatCode="0.000%"/>
    <numFmt numFmtId="169" formatCode="0\ &quot;min&quot;"/>
    <numFmt numFmtId="170" formatCode="0.0"/>
  </numFmts>
  <fonts count="15" x14ac:knownFonts="1">
    <font>
      <sz val="11"/>
      <color theme="1"/>
      <name val="Aptos Narrow"/>
      <family val="2"/>
      <scheme val="minor"/>
    </font>
    <font>
      <u/>
      <sz val="11"/>
      <color theme="10"/>
      <name val="Aptos Narrow"/>
      <family val="2"/>
      <scheme val="minor"/>
    </font>
    <font>
      <sz val="9"/>
      <color theme="1"/>
      <name val="Aptos Narrow"/>
      <family val="2"/>
      <scheme val="minor"/>
    </font>
    <font>
      <b/>
      <sz val="9"/>
      <color theme="1"/>
      <name val="Aptos Narrow"/>
      <family val="2"/>
      <scheme val="minor"/>
    </font>
    <font>
      <sz val="9"/>
      <color rgb="FFFF0000"/>
      <name val="Aptos Narrow"/>
      <family val="2"/>
      <scheme val="minor"/>
    </font>
    <font>
      <b/>
      <sz val="9"/>
      <color rgb="FF000000"/>
      <name val="Calibri"/>
      <family val="2"/>
    </font>
    <font>
      <sz val="9"/>
      <color rgb="FF000000"/>
      <name val="Calibri"/>
      <family val="2"/>
    </font>
    <font>
      <sz val="9"/>
      <color theme="1"/>
      <name val="Calibri"/>
      <family val="2"/>
    </font>
    <font>
      <u/>
      <sz val="9"/>
      <color theme="10"/>
      <name val="Calibri"/>
      <family val="2"/>
    </font>
    <font>
      <sz val="9"/>
      <color rgb="FFFF0000"/>
      <name val="Calibri"/>
      <family val="2"/>
    </font>
    <font>
      <vertAlign val="subscript"/>
      <sz val="9"/>
      <color theme="1"/>
      <name val="Calibri"/>
      <family val="2"/>
    </font>
    <font>
      <sz val="9"/>
      <name val="Calibri"/>
      <family val="2"/>
    </font>
    <font>
      <vertAlign val="superscript"/>
      <sz val="9"/>
      <color theme="1"/>
      <name val="Calibri"/>
      <family val="2"/>
    </font>
    <font>
      <b/>
      <i/>
      <sz val="9"/>
      <color theme="1"/>
      <name val="Calibri"/>
      <family val="2"/>
    </font>
    <font>
      <b/>
      <sz val="9"/>
      <color theme="1"/>
      <name val="Calibri"/>
      <family val="2"/>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C000"/>
        <bgColor indexed="64"/>
      </patternFill>
    </fill>
    <fill>
      <patternFill patternType="solid">
        <fgColor rgb="FF92D050"/>
        <bgColor indexed="64"/>
      </patternFill>
    </fill>
  </fills>
  <borders count="9">
    <border>
      <left/>
      <right/>
      <top/>
      <bottom/>
      <diagonal/>
    </border>
    <border>
      <left style="medium">
        <color rgb="FF999999"/>
      </left>
      <right/>
      <top style="medium">
        <color rgb="FF999999"/>
      </top>
      <bottom/>
      <diagonal/>
    </border>
    <border>
      <left/>
      <right/>
      <top style="medium">
        <color rgb="FF999999"/>
      </top>
      <bottom/>
      <diagonal/>
    </border>
    <border>
      <left/>
      <right style="medium">
        <color rgb="FF999999"/>
      </right>
      <top style="medium">
        <color rgb="FF999999"/>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999999"/>
      </left>
      <right style="thin">
        <color theme="6"/>
      </right>
      <top style="thin">
        <color theme="6"/>
      </top>
      <bottom style="thin">
        <color theme="6"/>
      </bottom>
      <diagonal/>
    </border>
  </borders>
  <cellStyleXfs count="2">
    <xf numFmtId="0" fontId="0" fillId="0" borderId="0"/>
    <xf numFmtId="0" fontId="1" fillId="0" borderId="0" applyNumberFormat="0" applyFill="0" applyBorder="0" applyAlignment="0" applyProtection="0"/>
  </cellStyleXfs>
  <cellXfs count="70">
    <xf numFmtId="0" fontId="0" fillId="0" borderId="0" xfId="0"/>
    <xf numFmtId="1" fontId="0" fillId="0" borderId="0" xfId="0" applyNumberFormat="1"/>
    <xf numFmtId="2" fontId="0" fillId="0" borderId="0" xfId="0" applyNumberFormat="1"/>
    <xf numFmtId="164" fontId="0" fillId="0" borderId="0" xfId="0" applyNumberFormat="1"/>
    <xf numFmtId="0" fontId="2" fillId="2" borderId="4" xfId="0" applyFont="1" applyFill="1" applyBorder="1" applyProtection="1">
      <protection locked="0"/>
    </xf>
    <xf numFmtId="0" fontId="3" fillId="3" borderId="0" xfId="0" applyFont="1" applyFill="1"/>
    <xf numFmtId="0" fontId="2" fillId="3" borderId="0" xfId="0" applyFont="1" applyFill="1"/>
    <xf numFmtId="0" fontId="4" fillId="3" borderId="0" xfId="0" applyFont="1" applyFill="1"/>
    <xf numFmtId="0" fontId="0" fillId="3" borderId="0" xfId="0" applyFill="1"/>
    <xf numFmtId="0" fontId="7" fillId="3" borderId="0" xfId="0" applyFont="1" applyFill="1"/>
    <xf numFmtId="0" fontId="5" fillId="3" borderId="1" xfId="0" applyFont="1" applyFill="1" applyBorder="1" applyAlignment="1">
      <alignment horizontal="left" vertical="center"/>
    </xf>
    <xf numFmtId="0" fontId="7" fillId="3" borderId="2" xfId="0" applyFont="1" applyFill="1" applyBorder="1"/>
    <xf numFmtId="0" fontId="7" fillId="3" borderId="3" xfId="0" applyFont="1" applyFill="1" applyBorder="1"/>
    <xf numFmtId="10" fontId="5" fillId="3" borderId="0" xfId="0" applyNumberFormat="1" applyFont="1" applyFill="1" applyAlignment="1">
      <alignment horizontal="center" vertical="center" wrapText="1"/>
    </xf>
    <xf numFmtId="0" fontId="5" fillId="3" borderId="0" xfId="0" applyFont="1" applyFill="1" applyAlignment="1">
      <alignment horizontal="center" vertical="center" wrapText="1"/>
    </xf>
    <xf numFmtId="9" fontId="5" fillId="3" borderId="0" xfId="0" applyNumberFormat="1" applyFont="1" applyFill="1" applyAlignment="1">
      <alignment horizontal="center" vertical="center" wrapText="1"/>
    </xf>
    <xf numFmtId="0" fontId="9" fillId="3" borderId="0" xfId="0" applyFont="1" applyFill="1"/>
    <xf numFmtId="0" fontId="7" fillId="3" borderId="4" xfId="0" applyFont="1" applyFill="1" applyBorder="1"/>
    <xf numFmtId="0" fontId="7" fillId="3" borderId="4" xfId="0" applyFont="1" applyFill="1" applyBorder="1" applyAlignment="1">
      <alignment horizontal="center"/>
    </xf>
    <xf numFmtId="0" fontId="7" fillId="3" borderId="4" xfId="0" applyFont="1" applyFill="1" applyBorder="1" applyAlignment="1">
      <alignment horizontal="center" wrapText="1"/>
    </xf>
    <xf numFmtId="1" fontId="7" fillId="3" borderId="4" xfId="0" applyNumberFormat="1" applyFont="1" applyFill="1" applyBorder="1" applyAlignment="1">
      <alignment horizontal="center"/>
    </xf>
    <xf numFmtId="1" fontId="11" fillId="3" borderId="0" xfId="0" applyNumberFormat="1" applyFont="1" applyFill="1"/>
    <xf numFmtId="0" fontId="7" fillId="3" borderId="0" xfId="0" applyFont="1" applyFill="1" applyAlignment="1">
      <alignment horizontal="center"/>
    </xf>
    <xf numFmtId="1" fontId="7" fillId="3" borderId="0" xfId="0" applyNumberFormat="1" applyFont="1" applyFill="1"/>
    <xf numFmtId="0" fontId="7" fillId="3" borderId="0" xfId="0" applyFont="1" applyFill="1" applyAlignment="1">
      <alignment horizontal="left"/>
    </xf>
    <xf numFmtId="2" fontId="7" fillId="3" borderId="0" xfId="0" applyNumberFormat="1" applyFont="1" applyFill="1"/>
    <xf numFmtId="165" fontId="7" fillId="3" borderId="0" xfId="0" applyNumberFormat="1" applyFont="1" applyFill="1"/>
    <xf numFmtId="164" fontId="7" fillId="3" borderId="0" xfId="0" applyNumberFormat="1" applyFont="1" applyFill="1"/>
    <xf numFmtId="0" fontId="5" fillId="3" borderId="0" xfId="0" applyFont="1" applyFill="1" applyAlignment="1">
      <alignment horizontal="left" vertical="center" wrapText="1"/>
    </xf>
    <xf numFmtId="0" fontId="7" fillId="4" borderId="0" xfId="0" applyFont="1" applyFill="1"/>
    <xf numFmtId="1" fontId="7" fillId="5" borderId="0" xfId="0" applyNumberFormat="1" applyFont="1" applyFill="1"/>
    <xf numFmtId="0" fontId="7" fillId="3" borderId="0" xfId="0" applyFont="1" applyFill="1" applyAlignment="1">
      <alignment horizontal="right"/>
    </xf>
    <xf numFmtId="166" fontId="7" fillId="3" borderId="0" xfId="0" applyNumberFormat="1" applyFont="1" applyFill="1" applyAlignment="1">
      <alignment horizontal="left"/>
    </xf>
    <xf numFmtId="167" fontId="7" fillId="3" borderId="0" xfId="0" applyNumberFormat="1" applyFont="1" applyFill="1" applyAlignment="1">
      <alignment horizontal="right"/>
    </xf>
    <xf numFmtId="168" fontId="7" fillId="3" borderId="0" xfId="0" applyNumberFormat="1" applyFont="1" applyFill="1"/>
    <xf numFmtId="168" fontId="7" fillId="3" borderId="0" xfId="0" applyNumberFormat="1" applyFont="1" applyFill="1" applyAlignment="1">
      <alignment horizontal="left"/>
    </xf>
    <xf numFmtId="1" fontId="7" fillId="3" borderId="0" xfId="0" applyNumberFormat="1" applyFont="1" applyFill="1" applyAlignment="1">
      <alignment horizontal="center"/>
    </xf>
    <xf numFmtId="0" fontId="7" fillId="0" borderId="0" xfId="0" applyFont="1"/>
    <xf numFmtId="169" fontId="5" fillId="3" borderId="0" xfId="0" applyNumberFormat="1" applyFont="1" applyFill="1" applyAlignment="1">
      <alignment horizontal="left" vertical="center" wrapText="1"/>
    </xf>
    <xf numFmtId="1" fontId="11" fillId="0" borderId="0" xfId="0" applyNumberFormat="1" applyFont="1"/>
    <xf numFmtId="0" fontId="11" fillId="3" borderId="4" xfId="0" applyFont="1" applyFill="1" applyBorder="1" applyAlignment="1">
      <alignment horizontal="center"/>
    </xf>
    <xf numFmtId="169" fontId="5" fillId="3" borderId="8" xfId="0" applyNumberFormat="1" applyFont="1" applyFill="1" applyBorder="1" applyAlignment="1">
      <alignment horizontal="center" vertical="center" wrapText="1"/>
    </xf>
    <xf numFmtId="0" fontId="14" fillId="3" borderId="0" xfId="0" applyFont="1" applyFill="1"/>
    <xf numFmtId="169" fontId="0" fillId="0" borderId="0" xfId="0" applyNumberFormat="1"/>
    <xf numFmtId="1" fontId="11" fillId="0" borderId="4" xfId="0" applyNumberFormat="1" applyFont="1" applyBorder="1" applyAlignment="1">
      <alignment horizontal="center" vertical="center"/>
    </xf>
    <xf numFmtId="0" fontId="13" fillId="4" borderId="0" xfId="0" applyFont="1" applyFill="1" applyProtection="1">
      <protection locked="0"/>
    </xf>
    <xf numFmtId="0" fontId="7" fillId="4" borderId="0" xfId="0" applyFont="1" applyFill="1" applyProtection="1">
      <protection locked="0"/>
    </xf>
    <xf numFmtId="0" fontId="6" fillId="4" borderId="0" xfId="0" applyFont="1" applyFill="1" applyAlignment="1" applyProtection="1">
      <alignment horizontal="center" vertical="center" wrapText="1"/>
      <protection locked="0"/>
    </xf>
    <xf numFmtId="0" fontId="11" fillId="4" borderId="0" xfId="0" applyFont="1" applyFill="1" applyAlignment="1" applyProtection="1">
      <alignment horizontal="center"/>
      <protection locked="0"/>
    </xf>
    <xf numFmtId="0" fontId="11" fillId="4" borderId="4" xfId="0" applyFont="1" applyFill="1" applyBorder="1" applyAlignment="1" applyProtection="1">
      <alignment horizontal="center"/>
      <protection locked="0"/>
    </xf>
    <xf numFmtId="0" fontId="11" fillId="4" borderId="0" xfId="0" applyFont="1" applyFill="1" applyProtection="1">
      <protection locked="0"/>
    </xf>
    <xf numFmtId="1" fontId="7" fillId="4" borderId="0" xfId="0" applyNumberFormat="1" applyFont="1" applyFill="1" applyProtection="1">
      <protection locked="0"/>
    </xf>
    <xf numFmtId="170" fontId="7" fillId="4" borderId="0" xfId="0" applyNumberFormat="1" applyFont="1" applyFill="1" applyProtection="1">
      <protection locked="0"/>
    </xf>
    <xf numFmtId="11" fontId="7" fillId="4" borderId="0" xfId="0" applyNumberFormat="1" applyFont="1" applyFill="1" applyProtection="1">
      <protection locked="0"/>
    </xf>
    <xf numFmtId="0" fontId="8" fillId="4" borderId="0" xfId="1" applyFont="1" applyFill="1" applyAlignment="1" applyProtection="1">
      <alignment horizontal="left" vertical="center" wrapText="1"/>
      <protection locked="0"/>
    </xf>
    <xf numFmtId="0" fontId="7" fillId="4" borderId="0" xfId="0" applyFont="1" applyFill="1" applyAlignment="1" applyProtection="1">
      <alignment horizontal="left" vertical="center" wrapText="1"/>
      <protection locked="0"/>
    </xf>
    <xf numFmtId="0" fontId="2" fillId="2" borderId="5" xfId="0" applyFont="1" applyFill="1" applyBorder="1" applyAlignment="1">
      <alignment horizontal="center"/>
    </xf>
    <xf numFmtId="0" fontId="2" fillId="2" borderId="6" xfId="0" applyFont="1" applyFill="1" applyBorder="1" applyAlignment="1">
      <alignment horizontal="center"/>
    </xf>
    <xf numFmtId="0" fontId="3" fillId="2" borderId="5"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5" xfId="0" applyFont="1" applyFill="1" applyBorder="1" applyAlignment="1" applyProtection="1">
      <alignment horizontal="center" vertical="center" wrapText="1"/>
      <protection locked="0"/>
    </xf>
    <xf numFmtId="0" fontId="3" fillId="2" borderId="6" xfId="0" applyFont="1" applyFill="1" applyBorder="1" applyAlignment="1" applyProtection="1">
      <alignment horizontal="center" vertical="center" wrapText="1"/>
      <protection locked="0"/>
    </xf>
    <xf numFmtId="0" fontId="2" fillId="2" borderId="5" xfId="0" applyFont="1" applyFill="1" applyBorder="1" applyAlignment="1">
      <alignment horizontal="left"/>
    </xf>
    <xf numFmtId="0" fontId="2" fillId="2" borderId="6" xfId="0" applyFont="1" applyFill="1" applyBorder="1" applyAlignment="1">
      <alignment horizontal="left"/>
    </xf>
    <xf numFmtId="14" fontId="2" fillId="2" borderId="4" xfId="0" applyNumberFormat="1" applyFont="1" applyFill="1" applyBorder="1" applyAlignment="1" applyProtection="1">
      <alignment horizontal="left"/>
      <protection locked="0"/>
    </xf>
    <xf numFmtId="0" fontId="2" fillId="2" borderId="5" xfId="0" applyFont="1" applyFill="1" applyBorder="1" applyAlignment="1" applyProtection="1">
      <alignment horizontal="left"/>
      <protection locked="0"/>
    </xf>
    <xf numFmtId="0" fontId="2" fillId="2" borderId="7" xfId="0" applyFont="1" applyFill="1" applyBorder="1" applyAlignment="1" applyProtection="1">
      <alignment horizontal="left"/>
      <protection locked="0"/>
    </xf>
    <xf numFmtId="0" fontId="2" fillId="2" borderId="6" xfId="0" applyFont="1" applyFill="1" applyBorder="1" applyAlignment="1" applyProtection="1">
      <alignment horizontal="left"/>
      <protection locked="0"/>
    </xf>
    <xf numFmtId="0" fontId="2" fillId="3" borderId="0" xfId="0" applyFont="1" applyFill="1" applyAlignment="1">
      <alignment horizontal="left" vertical="center" wrapText="1"/>
    </xf>
  </cellXfs>
  <cellStyles count="2">
    <cellStyle name="Hyperlink" xfId="1" builtinId="8"/>
    <cellStyle name="Normal" xfId="0" builtinId="0"/>
  </cellStyles>
  <dxfs count="11">
    <dxf>
      <font>
        <b val="0"/>
        <i val="0"/>
        <strike val="0"/>
        <condense val="0"/>
        <extend val="0"/>
        <outline val="0"/>
        <shadow val="0"/>
        <u val="none"/>
        <vertAlign val="baseline"/>
        <sz val="9"/>
        <color rgb="FF000000"/>
        <name val="Calibri"/>
        <family val="2"/>
        <scheme val="none"/>
      </font>
      <fill>
        <patternFill patternType="solid">
          <fgColor indexed="64"/>
          <bgColor rgb="FFFFC000"/>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9"/>
        <color rgb="FF000000"/>
        <name val="Calibri"/>
        <family val="2"/>
        <scheme val="none"/>
      </font>
      <fill>
        <patternFill patternType="solid">
          <fgColor indexed="64"/>
          <bgColor rgb="FFFFC000"/>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9"/>
        <color rgb="FF000000"/>
        <name val="Calibri"/>
        <family val="2"/>
        <scheme val="none"/>
      </font>
      <fill>
        <patternFill patternType="solid">
          <fgColor indexed="64"/>
          <bgColor rgb="FFFFC000"/>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9"/>
        <color rgb="FF000000"/>
        <name val="Calibri"/>
        <family val="2"/>
        <scheme val="none"/>
      </font>
      <fill>
        <patternFill patternType="solid">
          <fgColor indexed="64"/>
          <bgColor rgb="FFFFC000"/>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9"/>
        <color rgb="FF000000"/>
        <name val="Calibri"/>
        <family val="2"/>
        <scheme val="none"/>
      </font>
      <fill>
        <patternFill patternType="solid">
          <fgColor indexed="64"/>
          <bgColor rgb="FFFFC000"/>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9"/>
        <color rgb="FF000000"/>
        <name val="Calibri"/>
        <family val="2"/>
        <scheme val="none"/>
      </font>
      <fill>
        <patternFill patternType="solid">
          <fgColor indexed="64"/>
          <bgColor rgb="FFFFC000"/>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9"/>
        <color rgb="FF000000"/>
        <name val="Calibri"/>
        <family val="2"/>
        <scheme val="none"/>
      </font>
      <fill>
        <patternFill patternType="solid">
          <fgColor indexed="64"/>
          <bgColor rgb="FFFFC000"/>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9"/>
        <color rgb="FF000000"/>
        <name val="Calibri"/>
        <family val="2"/>
        <scheme val="none"/>
      </font>
      <fill>
        <patternFill patternType="solid">
          <fgColor indexed="64"/>
          <bgColor theme="0"/>
        </patternFill>
      </fill>
      <alignment horizontal="left" vertical="center" textRotation="0" wrapText="1" indent="0" justifyLastLine="0" shrinkToFit="0" readingOrder="0"/>
    </dxf>
    <dxf>
      <border outline="0">
        <left style="medium">
          <color rgb="FF999999"/>
        </left>
        <right style="medium">
          <color rgb="FF999999"/>
        </right>
        <bottom style="medium">
          <color rgb="FF999999"/>
        </bottom>
      </border>
    </dxf>
    <dxf>
      <font>
        <b val="0"/>
        <i val="0"/>
        <strike val="0"/>
        <condense val="0"/>
        <extend val="0"/>
        <outline val="0"/>
        <shadow val="0"/>
        <u val="none"/>
        <vertAlign val="baseline"/>
        <sz val="9"/>
        <color rgb="FF000000"/>
        <name val="Calibri"/>
        <family val="2"/>
        <scheme val="none"/>
      </font>
      <fill>
        <patternFill patternType="solid">
          <fgColor indexed="64"/>
          <bgColor theme="0"/>
        </patternFill>
      </fill>
      <alignment horizontal="center" vertical="center" textRotation="0" wrapText="1" indent="0" justifyLastLine="0" shrinkToFit="0" readingOrder="0"/>
    </dxf>
    <dxf>
      <font>
        <b/>
        <i val="0"/>
        <strike val="0"/>
        <condense val="0"/>
        <extend val="0"/>
        <outline val="0"/>
        <shadow val="0"/>
        <u val="none"/>
        <vertAlign val="baseline"/>
        <sz val="9"/>
        <color rgb="FF000000"/>
        <name val="Calibri"/>
        <family val="2"/>
        <scheme val="none"/>
      </font>
      <numFmt numFmtId="13" formatCode="0%"/>
      <fill>
        <patternFill patternType="solid">
          <fgColor indexed="64"/>
          <bgColor theme="0"/>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42863</xdr:colOff>
      <xdr:row>0</xdr:row>
      <xdr:rowOff>47625</xdr:rowOff>
    </xdr:from>
    <xdr:to>
      <xdr:col>1</xdr:col>
      <xdr:colOff>595313</xdr:colOff>
      <xdr:row>0</xdr:row>
      <xdr:rowOff>575227</xdr:rowOff>
    </xdr:to>
    <xdr:pic>
      <xdr:nvPicPr>
        <xdr:cNvPr id="49" name="Image 1" descr="Picture">
          <a:extLst>
            <a:ext uri="{FF2B5EF4-FFF2-40B4-BE49-F238E27FC236}">
              <a16:creationId xmlns:a16="http://schemas.microsoft.com/office/drawing/2014/main" id="{34DE3225-C9E3-46E7-921D-2F3D87C456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7962" b="22749"/>
        <a:stretch>
          <a:fillRect/>
        </a:stretch>
      </xdr:blipFill>
      <xdr:spPr bwMode="auto">
        <a:xfrm>
          <a:off x="42863" y="47625"/>
          <a:ext cx="12001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476250</xdr:colOff>
      <xdr:row>74</xdr:row>
      <xdr:rowOff>152400</xdr:rowOff>
    </xdr:from>
    <xdr:to>
      <xdr:col>3</xdr:col>
      <xdr:colOff>485775</xdr:colOff>
      <xdr:row>76</xdr:row>
      <xdr:rowOff>76200</xdr:rowOff>
    </xdr:to>
    <xdr:cxnSp macro="">
      <xdr:nvCxnSpPr>
        <xdr:cNvPr id="3" name="Straight Connector 2">
          <a:extLst>
            <a:ext uri="{FF2B5EF4-FFF2-40B4-BE49-F238E27FC236}">
              <a16:creationId xmlns:a16="http://schemas.microsoft.com/office/drawing/2014/main" id="{3FDA0EB3-4522-A597-E352-85F0EEFBD2BE}"/>
            </a:ext>
          </a:extLst>
        </xdr:cNvPr>
        <xdr:cNvCxnSpPr/>
      </xdr:nvCxnSpPr>
      <xdr:spPr>
        <a:xfrm>
          <a:off x="1085850" y="14839950"/>
          <a:ext cx="1838325" cy="30480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504825</xdr:colOff>
      <xdr:row>74</xdr:row>
      <xdr:rowOff>142875</xdr:rowOff>
    </xdr:from>
    <xdr:to>
      <xdr:col>7</xdr:col>
      <xdr:colOff>152400</xdr:colOff>
      <xdr:row>76</xdr:row>
      <xdr:rowOff>76200</xdr:rowOff>
    </xdr:to>
    <xdr:cxnSp macro="">
      <xdr:nvCxnSpPr>
        <xdr:cNvPr id="5" name="Straight Connector 4">
          <a:extLst>
            <a:ext uri="{FF2B5EF4-FFF2-40B4-BE49-F238E27FC236}">
              <a16:creationId xmlns:a16="http://schemas.microsoft.com/office/drawing/2014/main" id="{4E4B8883-2B78-2F8F-1168-8B844DE074EB}"/>
            </a:ext>
          </a:extLst>
        </xdr:cNvPr>
        <xdr:cNvCxnSpPr/>
      </xdr:nvCxnSpPr>
      <xdr:spPr>
        <a:xfrm flipV="1">
          <a:off x="2943225" y="14830425"/>
          <a:ext cx="2219325" cy="31432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466725</xdr:colOff>
      <xdr:row>72</xdr:row>
      <xdr:rowOff>76200</xdr:rowOff>
    </xdr:from>
    <xdr:to>
      <xdr:col>1</xdr:col>
      <xdr:colOff>504825</xdr:colOff>
      <xdr:row>74</xdr:row>
      <xdr:rowOff>142875</xdr:rowOff>
    </xdr:to>
    <xdr:cxnSp macro="">
      <xdr:nvCxnSpPr>
        <xdr:cNvPr id="9" name="Straight Connector 8">
          <a:extLst>
            <a:ext uri="{FF2B5EF4-FFF2-40B4-BE49-F238E27FC236}">
              <a16:creationId xmlns:a16="http://schemas.microsoft.com/office/drawing/2014/main" id="{EDAB44F5-A6D2-14F8-6FDB-FA0E3BEB655C}"/>
            </a:ext>
          </a:extLst>
        </xdr:cNvPr>
        <xdr:cNvCxnSpPr/>
      </xdr:nvCxnSpPr>
      <xdr:spPr>
        <a:xfrm flipV="1">
          <a:off x="1076325" y="14382750"/>
          <a:ext cx="647700" cy="44767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571500</xdr:colOff>
      <xdr:row>72</xdr:row>
      <xdr:rowOff>180975</xdr:rowOff>
    </xdr:from>
    <xdr:to>
      <xdr:col>2</xdr:col>
      <xdr:colOff>238125</xdr:colOff>
      <xdr:row>74</xdr:row>
      <xdr:rowOff>9525</xdr:rowOff>
    </xdr:to>
    <xdr:cxnSp macro="">
      <xdr:nvCxnSpPr>
        <xdr:cNvPr id="12" name="Straight Arrow Connector 11">
          <a:extLst>
            <a:ext uri="{FF2B5EF4-FFF2-40B4-BE49-F238E27FC236}">
              <a16:creationId xmlns:a16="http://schemas.microsoft.com/office/drawing/2014/main" id="{8FECFC39-0B3E-C2B4-4B69-614824580B47}"/>
            </a:ext>
          </a:extLst>
        </xdr:cNvPr>
        <xdr:cNvCxnSpPr/>
      </xdr:nvCxnSpPr>
      <xdr:spPr>
        <a:xfrm flipH="1">
          <a:off x="1790700" y="14487525"/>
          <a:ext cx="276225" cy="20955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533400</xdr:colOff>
      <xdr:row>74</xdr:row>
      <xdr:rowOff>161925</xdr:rowOff>
    </xdr:from>
    <xdr:to>
      <xdr:col>2</xdr:col>
      <xdr:colOff>409575</xdr:colOff>
      <xdr:row>75</xdr:row>
      <xdr:rowOff>66675</xdr:rowOff>
    </xdr:to>
    <xdr:cxnSp macro="">
      <xdr:nvCxnSpPr>
        <xdr:cNvPr id="14" name="Straight Arrow Connector 13">
          <a:extLst>
            <a:ext uri="{FF2B5EF4-FFF2-40B4-BE49-F238E27FC236}">
              <a16:creationId xmlns:a16="http://schemas.microsoft.com/office/drawing/2014/main" id="{7338FC93-E3AE-7EC3-FEF4-1F98E58EEC97}"/>
            </a:ext>
          </a:extLst>
        </xdr:cNvPr>
        <xdr:cNvCxnSpPr/>
      </xdr:nvCxnSpPr>
      <xdr:spPr>
        <a:xfrm>
          <a:off x="1752600" y="14849475"/>
          <a:ext cx="485775" cy="9525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504825</xdr:colOff>
      <xdr:row>72</xdr:row>
      <xdr:rowOff>66675</xdr:rowOff>
    </xdr:from>
    <xdr:to>
      <xdr:col>6</xdr:col>
      <xdr:colOff>561975</xdr:colOff>
      <xdr:row>72</xdr:row>
      <xdr:rowOff>76200</xdr:rowOff>
    </xdr:to>
    <xdr:cxnSp macro="">
      <xdr:nvCxnSpPr>
        <xdr:cNvPr id="16" name="Straight Connector 15">
          <a:extLst>
            <a:ext uri="{FF2B5EF4-FFF2-40B4-BE49-F238E27FC236}">
              <a16:creationId xmlns:a16="http://schemas.microsoft.com/office/drawing/2014/main" id="{A3748CA6-2559-F7F6-56FF-CCF380234D6A}"/>
            </a:ext>
          </a:extLst>
        </xdr:cNvPr>
        <xdr:cNvCxnSpPr/>
      </xdr:nvCxnSpPr>
      <xdr:spPr>
        <a:xfrm flipV="1">
          <a:off x="1724025" y="14373225"/>
          <a:ext cx="3105150" cy="952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552450</xdr:colOff>
      <xdr:row>72</xdr:row>
      <xdr:rowOff>66675</xdr:rowOff>
    </xdr:from>
    <xdr:to>
      <xdr:col>7</xdr:col>
      <xdr:colOff>152400</xdr:colOff>
      <xdr:row>74</xdr:row>
      <xdr:rowOff>133350</xdr:rowOff>
    </xdr:to>
    <xdr:cxnSp macro="">
      <xdr:nvCxnSpPr>
        <xdr:cNvPr id="18" name="Straight Connector 17">
          <a:extLst>
            <a:ext uri="{FF2B5EF4-FFF2-40B4-BE49-F238E27FC236}">
              <a16:creationId xmlns:a16="http://schemas.microsoft.com/office/drawing/2014/main" id="{FF1510C5-117A-DECC-543B-026D8212D21F}"/>
            </a:ext>
          </a:extLst>
        </xdr:cNvPr>
        <xdr:cNvCxnSpPr/>
      </xdr:nvCxnSpPr>
      <xdr:spPr>
        <a:xfrm>
          <a:off x="4819650" y="14373225"/>
          <a:ext cx="342900" cy="447675"/>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323850</xdr:colOff>
      <xdr:row>72</xdr:row>
      <xdr:rowOff>152400</xdr:rowOff>
    </xdr:from>
    <xdr:to>
      <xdr:col>6</xdr:col>
      <xdr:colOff>561975</xdr:colOff>
      <xdr:row>74</xdr:row>
      <xdr:rowOff>9525</xdr:rowOff>
    </xdr:to>
    <xdr:cxnSp macro="">
      <xdr:nvCxnSpPr>
        <xdr:cNvPr id="22" name="Straight Arrow Connector 21">
          <a:extLst>
            <a:ext uri="{FF2B5EF4-FFF2-40B4-BE49-F238E27FC236}">
              <a16:creationId xmlns:a16="http://schemas.microsoft.com/office/drawing/2014/main" id="{E1C02418-F1FF-A679-2B23-257031C2BB41}"/>
            </a:ext>
          </a:extLst>
        </xdr:cNvPr>
        <xdr:cNvCxnSpPr/>
      </xdr:nvCxnSpPr>
      <xdr:spPr>
        <a:xfrm>
          <a:off x="4591050" y="14458950"/>
          <a:ext cx="238125" cy="238125"/>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485775</xdr:colOff>
      <xdr:row>75</xdr:row>
      <xdr:rowOff>9525</xdr:rowOff>
    </xdr:from>
    <xdr:to>
      <xdr:col>5</xdr:col>
      <xdr:colOff>428625</xdr:colOff>
      <xdr:row>75</xdr:row>
      <xdr:rowOff>85725</xdr:rowOff>
    </xdr:to>
    <xdr:cxnSp macro="">
      <xdr:nvCxnSpPr>
        <xdr:cNvPr id="24" name="Straight Arrow Connector 23">
          <a:extLst>
            <a:ext uri="{FF2B5EF4-FFF2-40B4-BE49-F238E27FC236}">
              <a16:creationId xmlns:a16="http://schemas.microsoft.com/office/drawing/2014/main" id="{DA728384-2FE4-F350-B61D-898FBB860B7C}"/>
            </a:ext>
          </a:extLst>
        </xdr:cNvPr>
        <xdr:cNvCxnSpPr/>
      </xdr:nvCxnSpPr>
      <xdr:spPr>
        <a:xfrm flipH="1">
          <a:off x="3533775" y="14887575"/>
          <a:ext cx="552450" cy="7620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194AB92-7E53-4848-B342-2D0D2C33AE5A}" name="Table1" displayName="Table1" ref="A56:H70" totalsRowShown="0" headerRowDxfId="10" dataDxfId="9" tableBorderDxfId="8">
  <autoFilter ref="A56:H70" xr:uid="{4194AB92-7E53-4848-B342-2D0D2C33AE5A}"/>
  <tableColumns count="8">
    <tableColumn id="1" xr3:uid="{C6F66E09-19F3-4A80-B910-91CEB7C717BE}" name="Duration" dataDxfId="7"/>
    <tableColumn id="2" xr3:uid="{51E48669-E336-4BD7-A26E-BF13AFDE1F28}" name="63.20%" dataDxfId="6"/>
    <tableColumn id="3" xr3:uid="{7C2DB07C-1CB0-45BA-8DE1-D27235904BFE}" name="50%#" dataDxfId="5"/>
    <tableColumn id="4" xr3:uid="{F125709E-5480-4E4C-BEE7-6A24C6945387}" name="20%*" dataDxfId="4"/>
    <tableColumn id="5" xr3:uid="{8CE2F4FA-EF4C-4B47-951F-6AF1A161872F}" name="10%" dataDxfId="3"/>
    <tableColumn id="6" xr3:uid="{C86A76E3-A439-4F01-9B48-37F5D26FB281}" name="5%" dataDxfId="2"/>
    <tableColumn id="7" xr3:uid="{B7B9B529-1C63-4985-86F3-B12BE693DCF5}" name="2%" dataDxfId="1"/>
    <tableColumn id="8" xr3:uid="{06BFA186-E368-45F1-A979-0FDC1331B843}" name="1%" dataDxfId="0"/>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om.gov.au/water/designRainfalls/revised-ifd/?year=2016&amp;coordinate_type=dd&amp;latitude=-36.138&amp;longitude=144.734&amp;sdmin=true&amp;sdhr=true&amp;sdday=true&amp;user_label="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223C3-E286-4982-81B1-09A554C2F203}">
  <dimension ref="A1:S115"/>
  <sheetViews>
    <sheetView tabSelected="1" view="pageBreakPreview" zoomScaleNormal="115" zoomScaleSheetLayoutView="100" workbookViewId="0">
      <selection activeCell="M19" sqref="M19"/>
    </sheetView>
  </sheetViews>
  <sheetFormatPr defaultRowHeight="15" x14ac:dyDescent="0.25"/>
  <cols>
    <col min="8" max="8" width="11.140625" customWidth="1"/>
  </cols>
  <sheetData>
    <row r="1" spans="1:9" ht="51.4" customHeight="1" x14ac:dyDescent="0.25">
      <c r="A1" s="56"/>
      <c r="B1" s="57"/>
      <c r="C1" s="58" t="s">
        <v>40</v>
      </c>
      <c r="D1" s="59"/>
      <c r="E1" s="59"/>
      <c r="F1" s="59"/>
      <c r="G1" s="60"/>
      <c r="H1" s="61" t="s">
        <v>28</v>
      </c>
      <c r="I1" s="62"/>
    </row>
    <row r="2" spans="1:9" x14ac:dyDescent="0.25">
      <c r="A2" s="63" t="s">
        <v>29</v>
      </c>
      <c r="B2" s="64"/>
      <c r="C2" s="65" t="s">
        <v>32</v>
      </c>
      <c r="D2" s="65"/>
      <c r="E2" s="63" t="s">
        <v>30</v>
      </c>
      <c r="F2" s="64"/>
      <c r="G2" s="65">
        <v>45900</v>
      </c>
      <c r="H2" s="65"/>
      <c r="I2" s="4" t="s">
        <v>31</v>
      </c>
    </row>
    <row r="3" spans="1:9" x14ac:dyDescent="0.25">
      <c r="A3" s="66" t="s">
        <v>41</v>
      </c>
      <c r="B3" s="67"/>
      <c r="C3" s="67"/>
      <c r="D3" s="67"/>
      <c r="E3" s="67"/>
      <c r="F3" s="67"/>
      <c r="G3" s="67"/>
      <c r="H3" s="67"/>
      <c r="I3" s="68"/>
    </row>
    <row r="4" spans="1:9" x14ac:dyDescent="0.25">
      <c r="A4" s="8"/>
      <c r="B4" s="8"/>
      <c r="C4" s="8"/>
      <c r="D4" s="8"/>
      <c r="E4" s="8"/>
      <c r="F4" s="8"/>
      <c r="G4" s="8"/>
      <c r="H4" s="8"/>
      <c r="I4" s="8"/>
    </row>
    <row r="5" spans="1:9" x14ac:dyDescent="0.25">
      <c r="A5" s="8"/>
      <c r="B5" s="8"/>
      <c r="C5" s="8"/>
      <c r="D5" s="8"/>
      <c r="E5" s="8"/>
      <c r="F5" s="8"/>
      <c r="G5" s="8"/>
      <c r="H5" s="8"/>
      <c r="I5" s="8"/>
    </row>
    <row r="6" spans="1:9" x14ac:dyDescent="0.25">
      <c r="A6" s="8"/>
      <c r="B6" s="5" t="s">
        <v>33</v>
      </c>
      <c r="C6" s="6"/>
      <c r="D6" s="6"/>
      <c r="E6" s="6"/>
      <c r="F6" s="6"/>
      <c r="G6" s="6"/>
      <c r="H6" s="6"/>
      <c r="I6" s="8"/>
    </row>
    <row r="7" spans="1:9" x14ac:dyDescent="0.25">
      <c r="A7" s="8"/>
      <c r="B7" s="6" t="s">
        <v>34</v>
      </c>
      <c r="C7" s="6"/>
      <c r="D7" s="6"/>
      <c r="E7" s="6"/>
      <c r="F7" s="6"/>
      <c r="G7" s="6"/>
      <c r="H7" s="6"/>
      <c r="I7" s="8"/>
    </row>
    <row r="8" spans="1:9" x14ac:dyDescent="0.25">
      <c r="A8" s="8"/>
      <c r="B8" s="6" t="s">
        <v>55</v>
      </c>
      <c r="C8" s="6"/>
      <c r="D8" s="6"/>
      <c r="E8" s="6"/>
      <c r="F8" s="6"/>
      <c r="G8" s="6"/>
      <c r="H8" s="6"/>
      <c r="I8" s="8"/>
    </row>
    <row r="9" spans="1:9" x14ac:dyDescent="0.25">
      <c r="A9" s="8"/>
      <c r="B9" s="6" t="s">
        <v>35</v>
      </c>
      <c r="C9" s="6"/>
      <c r="D9" s="6"/>
      <c r="E9" s="6"/>
      <c r="F9" s="6"/>
      <c r="G9" s="6"/>
      <c r="H9" s="6"/>
      <c r="I9" s="8"/>
    </row>
    <row r="10" spans="1:9" x14ac:dyDescent="0.25">
      <c r="A10" s="8"/>
      <c r="B10" s="6" t="s">
        <v>36</v>
      </c>
      <c r="C10" s="6"/>
      <c r="D10" s="6"/>
      <c r="E10" s="6"/>
      <c r="F10" s="6"/>
      <c r="G10" s="6"/>
      <c r="H10" s="6"/>
      <c r="I10" s="8"/>
    </row>
    <row r="11" spans="1:9" x14ac:dyDescent="0.25">
      <c r="A11" s="8"/>
      <c r="B11" s="6" t="s">
        <v>37</v>
      </c>
      <c r="C11" s="6"/>
      <c r="D11" s="6"/>
      <c r="E11" s="6"/>
      <c r="F11" s="6"/>
      <c r="G11" s="6"/>
      <c r="H11" s="6"/>
      <c r="I11" s="8"/>
    </row>
    <row r="12" spans="1:9" x14ac:dyDescent="0.25">
      <c r="A12" s="8"/>
      <c r="B12" s="7" t="s">
        <v>38</v>
      </c>
      <c r="C12" s="6"/>
      <c r="D12" s="6"/>
      <c r="E12" s="6"/>
      <c r="F12" s="6"/>
      <c r="G12" s="6"/>
      <c r="H12" s="6"/>
      <c r="I12" s="8"/>
    </row>
    <row r="13" spans="1:9" x14ac:dyDescent="0.25">
      <c r="A13" s="8"/>
      <c r="B13" s="69" t="s">
        <v>39</v>
      </c>
      <c r="C13" s="69"/>
      <c r="D13" s="69"/>
      <c r="E13" s="69"/>
      <c r="F13" s="69"/>
      <c r="G13" s="69"/>
      <c r="H13" s="69"/>
      <c r="I13" s="8"/>
    </row>
    <row r="14" spans="1:9" x14ac:dyDescent="0.25">
      <c r="A14" s="8"/>
      <c r="B14" s="69"/>
      <c r="C14" s="69"/>
      <c r="D14" s="69"/>
      <c r="E14" s="69"/>
      <c r="F14" s="69"/>
      <c r="G14" s="69"/>
      <c r="H14" s="69"/>
      <c r="I14" s="8"/>
    </row>
    <row r="15" spans="1:9" x14ac:dyDescent="0.25">
      <c r="A15" s="8"/>
      <c r="B15" s="69"/>
      <c r="C15" s="69"/>
      <c r="D15" s="69"/>
      <c r="E15" s="69"/>
      <c r="F15" s="69"/>
      <c r="G15" s="69"/>
      <c r="H15" s="69"/>
      <c r="I15" s="8"/>
    </row>
    <row r="16" spans="1:9" x14ac:dyDescent="0.25">
      <c r="A16" s="8"/>
      <c r="B16" s="69"/>
      <c r="C16" s="69"/>
      <c r="D16" s="69"/>
      <c r="E16" s="69"/>
      <c r="F16" s="69"/>
      <c r="G16" s="69"/>
      <c r="H16" s="69"/>
      <c r="I16" s="8"/>
    </row>
    <row r="17" spans="1:9" x14ac:dyDescent="0.25">
      <c r="A17" s="8"/>
      <c r="B17" s="8"/>
      <c r="C17" s="8"/>
      <c r="D17" s="8"/>
      <c r="E17" s="8"/>
      <c r="F17" s="8"/>
      <c r="G17" s="8"/>
      <c r="H17" s="8"/>
      <c r="I17" s="8"/>
    </row>
    <row r="18" spans="1:9" x14ac:dyDescent="0.25">
      <c r="A18" s="8"/>
      <c r="B18" s="8"/>
      <c r="C18" s="8"/>
      <c r="D18" s="8"/>
      <c r="E18" s="8"/>
      <c r="F18" s="8"/>
      <c r="G18" s="8"/>
      <c r="H18" s="8"/>
      <c r="I18" s="8"/>
    </row>
    <row r="19" spans="1:9" x14ac:dyDescent="0.25">
      <c r="A19" s="8"/>
      <c r="B19" s="8"/>
      <c r="C19" s="8"/>
      <c r="D19" s="8"/>
      <c r="E19" s="8"/>
      <c r="F19" s="8"/>
      <c r="G19" s="8"/>
      <c r="H19" s="8"/>
      <c r="I19" s="8"/>
    </row>
    <row r="20" spans="1:9" x14ac:dyDescent="0.25">
      <c r="A20" s="8"/>
      <c r="B20" s="8"/>
      <c r="C20" s="8"/>
      <c r="D20" s="8"/>
      <c r="E20" s="8"/>
      <c r="F20" s="8"/>
      <c r="G20" s="8"/>
      <c r="H20" s="8"/>
      <c r="I20" s="8"/>
    </row>
    <row r="21" spans="1:9" x14ac:dyDescent="0.25">
      <c r="A21" s="8"/>
      <c r="B21" s="8"/>
      <c r="C21" s="8"/>
      <c r="D21" s="8"/>
      <c r="E21" s="8"/>
      <c r="F21" s="8"/>
      <c r="G21" s="8"/>
      <c r="H21" s="8"/>
      <c r="I21" s="8"/>
    </row>
    <row r="22" spans="1:9" x14ac:dyDescent="0.25">
      <c r="A22" s="8"/>
      <c r="B22" s="8"/>
      <c r="C22" s="8"/>
      <c r="D22" s="8"/>
      <c r="E22" s="8"/>
      <c r="F22" s="8"/>
      <c r="G22" s="8"/>
      <c r="H22" s="8"/>
      <c r="I22" s="8"/>
    </row>
    <row r="23" spans="1:9" x14ac:dyDescent="0.25">
      <c r="A23" s="8"/>
      <c r="B23" s="8"/>
      <c r="C23" s="8"/>
      <c r="D23" s="8"/>
      <c r="E23" s="8"/>
      <c r="F23" s="8"/>
      <c r="G23" s="8"/>
      <c r="H23" s="8"/>
      <c r="I23" s="8"/>
    </row>
    <row r="24" spans="1:9" x14ac:dyDescent="0.25">
      <c r="A24" s="8"/>
      <c r="B24" s="8"/>
      <c r="C24" s="8"/>
      <c r="D24" s="8"/>
      <c r="E24" s="8"/>
      <c r="F24" s="8"/>
      <c r="G24" s="8"/>
      <c r="H24" s="8"/>
      <c r="I24" s="8"/>
    </row>
    <row r="25" spans="1:9" x14ac:dyDescent="0.25">
      <c r="A25" s="8"/>
      <c r="B25" s="8"/>
      <c r="C25" s="8"/>
      <c r="D25" s="8"/>
      <c r="E25" s="8"/>
      <c r="F25" s="8"/>
      <c r="G25" s="8"/>
      <c r="H25" s="8"/>
      <c r="I25" s="8"/>
    </row>
    <row r="26" spans="1:9" x14ac:dyDescent="0.25">
      <c r="A26" s="8"/>
      <c r="B26" s="8"/>
      <c r="C26" s="8"/>
      <c r="D26" s="8"/>
      <c r="E26" s="8"/>
      <c r="F26" s="8"/>
      <c r="G26" s="8"/>
      <c r="H26" s="8"/>
      <c r="I26" s="8"/>
    </row>
    <row r="27" spans="1:9" x14ac:dyDescent="0.25">
      <c r="A27" s="8"/>
      <c r="B27" s="8"/>
      <c r="C27" s="8"/>
      <c r="D27" s="8"/>
      <c r="E27" s="8"/>
      <c r="F27" s="8"/>
      <c r="G27" s="8"/>
      <c r="H27" s="8"/>
      <c r="I27" s="8"/>
    </row>
    <row r="28" spans="1:9" x14ac:dyDescent="0.25">
      <c r="A28" s="8"/>
      <c r="B28" s="8"/>
      <c r="C28" s="8"/>
      <c r="D28" s="8"/>
      <c r="E28" s="8"/>
      <c r="F28" s="8"/>
      <c r="G28" s="8"/>
      <c r="H28" s="8"/>
      <c r="I28" s="8"/>
    </row>
    <row r="29" spans="1:9" x14ac:dyDescent="0.25">
      <c r="A29" s="8"/>
      <c r="B29" s="8"/>
      <c r="C29" s="8"/>
      <c r="D29" s="8"/>
      <c r="E29" s="8"/>
      <c r="F29" s="8"/>
      <c r="G29" s="8"/>
      <c r="H29" s="8"/>
      <c r="I29" s="8"/>
    </row>
    <row r="30" spans="1:9" x14ac:dyDescent="0.25">
      <c r="A30" s="8"/>
      <c r="B30" s="8"/>
      <c r="C30" s="8"/>
      <c r="D30" s="8"/>
      <c r="E30" s="8"/>
      <c r="F30" s="8"/>
      <c r="G30" s="8"/>
      <c r="H30" s="8"/>
      <c r="I30" s="8"/>
    </row>
    <row r="31" spans="1:9" x14ac:dyDescent="0.25">
      <c r="A31" s="8"/>
      <c r="B31" s="8"/>
      <c r="C31" s="8"/>
      <c r="D31" s="8"/>
      <c r="E31" s="8"/>
      <c r="F31" s="8"/>
      <c r="G31" s="8"/>
      <c r="H31" s="8"/>
      <c r="I31" s="8"/>
    </row>
    <row r="32" spans="1:9" x14ac:dyDescent="0.25">
      <c r="A32" s="8"/>
      <c r="B32" s="8"/>
      <c r="C32" s="8"/>
      <c r="D32" s="8"/>
      <c r="E32" s="8"/>
      <c r="F32" s="8"/>
      <c r="G32" s="8"/>
      <c r="H32" s="8"/>
      <c r="I32" s="8"/>
    </row>
    <row r="33" spans="1:9" x14ac:dyDescent="0.25">
      <c r="A33" s="8"/>
      <c r="B33" s="8"/>
      <c r="C33" s="8"/>
      <c r="D33" s="8"/>
      <c r="E33" s="8"/>
      <c r="F33" s="8"/>
      <c r="G33" s="8"/>
      <c r="H33" s="8"/>
      <c r="I33" s="8"/>
    </row>
    <row r="34" spans="1:9" x14ac:dyDescent="0.25">
      <c r="A34" s="8"/>
      <c r="B34" s="8"/>
      <c r="C34" s="8"/>
      <c r="D34" s="8"/>
      <c r="E34" s="8"/>
      <c r="F34" s="8"/>
      <c r="G34" s="8"/>
      <c r="H34" s="8"/>
      <c r="I34" s="8"/>
    </row>
    <row r="35" spans="1:9" x14ac:dyDescent="0.25">
      <c r="A35" s="8"/>
      <c r="B35" s="8"/>
      <c r="C35" s="8"/>
      <c r="D35" s="8"/>
      <c r="E35" s="8"/>
      <c r="F35" s="8"/>
      <c r="G35" s="8"/>
      <c r="H35" s="8"/>
      <c r="I35" s="8"/>
    </row>
    <row r="36" spans="1:9" x14ac:dyDescent="0.25">
      <c r="A36" s="8"/>
      <c r="B36" s="8"/>
      <c r="C36" s="8"/>
      <c r="D36" s="8"/>
      <c r="E36" s="8"/>
      <c r="F36" s="8"/>
      <c r="G36" s="8"/>
      <c r="H36" s="8"/>
      <c r="I36" s="8"/>
    </row>
    <row r="37" spans="1:9" x14ac:dyDescent="0.25">
      <c r="A37" s="8"/>
      <c r="B37" s="8"/>
      <c r="C37" s="8"/>
      <c r="D37" s="8"/>
      <c r="E37" s="8"/>
      <c r="F37" s="8"/>
      <c r="G37" s="8"/>
      <c r="H37" s="8"/>
      <c r="I37" s="8"/>
    </row>
    <row r="38" spans="1:9" x14ac:dyDescent="0.25">
      <c r="A38" s="8"/>
      <c r="B38" s="8"/>
      <c r="C38" s="8"/>
      <c r="D38" s="8"/>
      <c r="E38" s="8"/>
      <c r="F38" s="8"/>
      <c r="G38" s="8"/>
      <c r="H38" s="8"/>
      <c r="I38" s="8"/>
    </row>
    <row r="39" spans="1:9" x14ac:dyDescent="0.25">
      <c r="A39" s="8"/>
      <c r="B39" s="8"/>
      <c r="C39" s="8"/>
      <c r="D39" s="8"/>
      <c r="E39" s="8"/>
      <c r="F39" s="8"/>
      <c r="G39" s="8"/>
      <c r="H39" s="8"/>
      <c r="I39" s="8"/>
    </row>
    <row r="40" spans="1:9" x14ac:dyDescent="0.25">
      <c r="A40" s="8"/>
      <c r="B40" s="8"/>
      <c r="C40" s="8"/>
      <c r="D40" s="8"/>
      <c r="E40" s="8"/>
      <c r="F40" s="8"/>
      <c r="G40" s="8"/>
      <c r="H40" s="8"/>
      <c r="I40" s="8"/>
    </row>
    <row r="41" spans="1:9" x14ac:dyDescent="0.25">
      <c r="A41" s="8"/>
      <c r="B41" s="8"/>
      <c r="C41" s="8"/>
      <c r="D41" s="8"/>
      <c r="E41" s="8"/>
      <c r="F41" s="8"/>
      <c r="G41" s="8"/>
      <c r="H41" s="8"/>
      <c r="I41" s="8"/>
    </row>
    <row r="42" spans="1:9" x14ac:dyDescent="0.25">
      <c r="A42" s="8"/>
      <c r="B42" s="8"/>
      <c r="C42" s="8"/>
      <c r="D42" s="8"/>
      <c r="E42" s="8"/>
      <c r="F42" s="8"/>
      <c r="G42" s="8"/>
      <c r="H42" s="8"/>
      <c r="I42" s="8"/>
    </row>
    <row r="43" spans="1:9" x14ac:dyDescent="0.25">
      <c r="A43" s="8"/>
      <c r="B43" s="8"/>
      <c r="C43" s="8"/>
      <c r="D43" s="8"/>
      <c r="E43" s="8"/>
      <c r="F43" s="8"/>
      <c r="G43" s="8"/>
      <c r="H43" s="8"/>
      <c r="I43" s="8"/>
    </row>
    <row r="44" spans="1:9" x14ac:dyDescent="0.25">
      <c r="A44" s="8"/>
      <c r="B44" s="8"/>
      <c r="C44" s="8"/>
      <c r="D44" s="8"/>
      <c r="E44" s="8"/>
      <c r="F44" s="8"/>
      <c r="G44" s="8"/>
      <c r="H44" s="8"/>
      <c r="I44" s="8"/>
    </row>
    <row r="45" spans="1:9" x14ac:dyDescent="0.25">
      <c r="A45" s="8"/>
      <c r="B45" s="8"/>
      <c r="C45" s="8"/>
      <c r="D45" s="8"/>
      <c r="E45" s="8"/>
      <c r="F45" s="8"/>
      <c r="G45" s="8"/>
      <c r="H45" s="8"/>
      <c r="I45" s="8"/>
    </row>
    <row r="46" spans="1:9" x14ac:dyDescent="0.25">
      <c r="A46" s="9" t="s">
        <v>54</v>
      </c>
      <c r="B46" s="9"/>
      <c r="C46" s="9"/>
      <c r="D46" s="9"/>
      <c r="E46" s="9"/>
      <c r="F46" s="9"/>
      <c r="G46" s="9"/>
      <c r="H46" s="9"/>
      <c r="I46" s="9"/>
    </row>
    <row r="47" spans="1:9" ht="24.75" customHeight="1" x14ac:dyDescent="0.25">
      <c r="A47" s="54" t="s">
        <v>0</v>
      </c>
      <c r="B47" s="55"/>
      <c r="C47" s="55"/>
      <c r="D47" s="55"/>
      <c r="E47" s="55"/>
      <c r="F47" s="55"/>
      <c r="G47" s="55"/>
      <c r="H47" s="55"/>
      <c r="I47" s="55"/>
    </row>
    <row r="48" spans="1:9" x14ac:dyDescent="0.25">
      <c r="A48" s="9" t="s">
        <v>1</v>
      </c>
      <c r="B48" s="9"/>
      <c r="C48" s="9"/>
      <c r="D48" s="9"/>
      <c r="E48" s="9"/>
      <c r="F48" s="9"/>
      <c r="G48" s="9"/>
      <c r="H48" s="9"/>
      <c r="I48" s="9"/>
    </row>
    <row r="49" spans="1:9" x14ac:dyDescent="0.25">
      <c r="A49" s="45" t="s">
        <v>27</v>
      </c>
      <c r="B49" s="29"/>
      <c r="C49" s="29"/>
      <c r="D49" s="29"/>
      <c r="E49" s="9"/>
      <c r="F49" s="9"/>
      <c r="G49" s="9"/>
      <c r="H49" s="9"/>
      <c r="I49" s="9"/>
    </row>
    <row r="50" spans="1:9" x14ac:dyDescent="0.25">
      <c r="A50" s="9" t="s">
        <v>2</v>
      </c>
      <c r="B50" s="9"/>
      <c r="C50" s="9"/>
      <c r="D50" s="9"/>
      <c r="E50" s="9"/>
      <c r="F50" s="9"/>
      <c r="G50" s="9"/>
      <c r="H50" s="9"/>
      <c r="I50" s="9"/>
    </row>
    <row r="51" spans="1:9" x14ac:dyDescent="0.25">
      <c r="A51" s="46" t="s">
        <v>3</v>
      </c>
      <c r="B51" s="29"/>
      <c r="C51" s="29"/>
      <c r="D51" s="9"/>
      <c r="E51" s="9"/>
      <c r="F51" s="9"/>
      <c r="G51" s="9"/>
      <c r="H51" s="9"/>
      <c r="I51" s="9"/>
    </row>
    <row r="52" spans="1:9" x14ac:dyDescent="0.25">
      <c r="A52" s="9" t="s">
        <v>4</v>
      </c>
      <c r="B52" s="9"/>
      <c r="C52" s="9"/>
      <c r="D52" s="9"/>
      <c r="E52" s="9"/>
      <c r="F52" s="9"/>
      <c r="G52" s="9"/>
      <c r="H52" s="9"/>
      <c r="I52" s="9"/>
    </row>
    <row r="53" spans="1:9" x14ac:dyDescent="0.25">
      <c r="A53" s="46" t="s">
        <v>5</v>
      </c>
      <c r="B53" s="29"/>
      <c r="C53" s="29"/>
      <c r="D53" s="9"/>
      <c r="E53" s="9"/>
      <c r="F53" s="9"/>
      <c r="G53" s="9"/>
      <c r="H53" s="9"/>
      <c r="I53" s="9"/>
    </row>
    <row r="54" spans="1:9" ht="15.75" thickBot="1" x14ac:dyDescent="0.3">
      <c r="A54" s="9"/>
      <c r="B54" s="9"/>
      <c r="C54" s="9"/>
      <c r="D54" s="9"/>
      <c r="E54" s="9"/>
      <c r="F54" s="9"/>
      <c r="G54" s="9"/>
      <c r="H54" s="9"/>
      <c r="I54" s="9"/>
    </row>
    <row r="55" spans="1:9" x14ac:dyDescent="0.25">
      <c r="A55" s="10" t="s">
        <v>64</v>
      </c>
      <c r="B55" s="11"/>
      <c r="C55" s="11"/>
      <c r="D55" s="11"/>
      <c r="E55" s="11"/>
      <c r="F55" s="11"/>
      <c r="G55" s="11"/>
      <c r="H55" s="12"/>
      <c r="I55" s="9"/>
    </row>
    <row r="56" spans="1:9" x14ac:dyDescent="0.25">
      <c r="A56" s="28" t="s">
        <v>6</v>
      </c>
      <c r="B56" s="13" t="s">
        <v>56</v>
      </c>
      <c r="C56" s="14" t="s">
        <v>7</v>
      </c>
      <c r="D56" s="14" t="s">
        <v>8</v>
      </c>
      <c r="E56" s="15" t="s">
        <v>57</v>
      </c>
      <c r="F56" s="15" t="s">
        <v>58</v>
      </c>
      <c r="G56" s="15" t="s">
        <v>59</v>
      </c>
      <c r="H56" s="15" t="s">
        <v>60</v>
      </c>
      <c r="I56" s="9"/>
    </row>
    <row r="57" spans="1:9" x14ac:dyDescent="0.25">
      <c r="A57" s="38">
        <v>1</v>
      </c>
      <c r="B57" s="47">
        <v>81.2</v>
      </c>
      <c r="C57" s="47">
        <v>93.7</v>
      </c>
      <c r="D57" s="47">
        <v>136</v>
      </c>
      <c r="E57" s="47">
        <v>167</v>
      </c>
      <c r="F57" s="47">
        <v>200</v>
      </c>
      <c r="G57" s="47">
        <v>248</v>
      </c>
      <c r="H57" s="47">
        <v>287</v>
      </c>
      <c r="I57" s="9"/>
    </row>
    <row r="58" spans="1:9" x14ac:dyDescent="0.25">
      <c r="A58" s="38">
        <v>2</v>
      </c>
      <c r="B58" s="47">
        <v>69.2</v>
      </c>
      <c r="C58" s="47">
        <v>79.5</v>
      </c>
      <c r="D58" s="47">
        <v>114</v>
      </c>
      <c r="E58" s="47">
        <v>141</v>
      </c>
      <c r="F58" s="47">
        <v>168</v>
      </c>
      <c r="G58" s="47">
        <v>209</v>
      </c>
      <c r="H58" s="47">
        <v>244</v>
      </c>
      <c r="I58" s="9"/>
    </row>
    <row r="59" spans="1:9" x14ac:dyDescent="0.25">
      <c r="A59" s="38">
        <v>3</v>
      </c>
      <c r="B59" s="47">
        <v>62.4</v>
      </c>
      <c r="C59" s="47">
        <v>71.7</v>
      </c>
      <c r="D59" s="47">
        <v>103</v>
      </c>
      <c r="E59" s="47">
        <v>127</v>
      </c>
      <c r="F59" s="47">
        <v>152</v>
      </c>
      <c r="G59" s="47">
        <v>188</v>
      </c>
      <c r="H59" s="47">
        <v>219</v>
      </c>
      <c r="I59" s="9"/>
    </row>
    <row r="60" spans="1:9" x14ac:dyDescent="0.25">
      <c r="A60" s="38">
        <v>4</v>
      </c>
      <c r="B60" s="47">
        <v>57.3</v>
      </c>
      <c r="C60" s="47">
        <v>65.900000000000006</v>
      </c>
      <c r="D60" s="47">
        <v>95</v>
      </c>
      <c r="E60" s="47">
        <v>117</v>
      </c>
      <c r="F60" s="47">
        <v>139</v>
      </c>
      <c r="G60" s="47">
        <v>173</v>
      </c>
      <c r="H60" s="47">
        <v>200</v>
      </c>
      <c r="I60" s="9"/>
    </row>
    <row r="61" spans="1:9" x14ac:dyDescent="0.25">
      <c r="A61" s="38">
        <v>5</v>
      </c>
      <c r="B61" s="47">
        <v>53.1</v>
      </c>
      <c r="C61" s="47">
        <v>61.1</v>
      </c>
      <c r="D61" s="47">
        <v>88.3</v>
      </c>
      <c r="E61" s="47">
        <v>109</v>
      </c>
      <c r="F61" s="47">
        <v>130</v>
      </c>
      <c r="G61" s="47">
        <v>160</v>
      </c>
      <c r="H61" s="47">
        <v>186</v>
      </c>
      <c r="I61" s="9"/>
    </row>
    <row r="62" spans="1:9" x14ac:dyDescent="0.25">
      <c r="A62" s="38">
        <v>10</v>
      </c>
      <c r="B62" s="47">
        <v>39.700000000000003</v>
      </c>
      <c r="C62" s="47">
        <v>45.9</v>
      </c>
      <c r="D62" s="47">
        <v>66.599999999999994</v>
      </c>
      <c r="E62" s="47">
        <v>82.1</v>
      </c>
      <c r="F62" s="47">
        <v>98.4</v>
      </c>
      <c r="G62" s="47">
        <v>122</v>
      </c>
      <c r="H62" s="47">
        <v>141</v>
      </c>
      <c r="I62" s="9"/>
    </row>
    <row r="63" spans="1:9" x14ac:dyDescent="0.25">
      <c r="A63" s="38">
        <v>15</v>
      </c>
      <c r="B63" s="47">
        <v>32.299999999999997</v>
      </c>
      <c r="C63" s="47">
        <v>37.299999999999997</v>
      </c>
      <c r="D63" s="47">
        <v>54.3</v>
      </c>
      <c r="E63" s="47">
        <v>67</v>
      </c>
      <c r="F63" s="47">
        <v>80.3</v>
      </c>
      <c r="G63" s="47">
        <v>99.4</v>
      </c>
      <c r="H63" s="47">
        <v>115</v>
      </c>
      <c r="I63" s="9"/>
    </row>
    <row r="64" spans="1:9" x14ac:dyDescent="0.25">
      <c r="A64" s="38">
        <v>20</v>
      </c>
      <c r="B64" s="47">
        <v>27.5</v>
      </c>
      <c r="C64" s="47">
        <v>31.8</v>
      </c>
      <c r="D64" s="47">
        <v>46.2</v>
      </c>
      <c r="E64" s="47">
        <v>57</v>
      </c>
      <c r="F64" s="47">
        <v>68.400000000000006</v>
      </c>
      <c r="G64" s="47">
        <v>84.7</v>
      </c>
      <c r="H64" s="47">
        <v>98.2</v>
      </c>
      <c r="I64" s="9"/>
    </row>
    <row r="65" spans="1:9" x14ac:dyDescent="0.25">
      <c r="A65" s="38">
        <v>25</v>
      </c>
      <c r="B65" s="47">
        <v>24.1</v>
      </c>
      <c r="C65" s="47">
        <v>27.8</v>
      </c>
      <c r="D65" s="47">
        <v>40.4</v>
      </c>
      <c r="E65" s="47">
        <v>49.8</v>
      </c>
      <c r="F65" s="47">
        <v>59.8</v>
      </c>
      <c r="G65" s="47">
        <v>74</v>
      </c>
      <c r="H65" s="47">
        <v>85.9</v>
      </c>
      <c r="I65" s="9"/>
    </row>
    <row r="66" spans="1:9" x14ac:dyDescent="0.25">
      <c r="A66" s="38">
        <v>30</v>
      </c>
      <c r="B66" s="47">
        <v>21.5</v>
      </c>
      <c r="C66" s="47">
        <v>24.8</v>
      </c>
      <c r="D66" s="47">
        <v>36</v>
      </c>
      <c r="E66" s="47">
        <v>44.4</v>
      </c>
      <c r="F66" s="47">
        <v>53.2</v>
      </c>
      <c r="G66" s="47">
        <v>66</v>
      </c>
      <c r="H66" s="47">
        <v>76.5</v>
      </c>
      <c r="I66" s="9"/>
    </row>
    <row r="67" spans="1:9" x14ac:dyDescent="0.25">
      <c r="A67" s="38">
        <v>45</v>
      </c>
      <c r="B67" s="47">
        <v>16.600000000000001</v>
      </c>
      <c r="C67" s="47">
        <v>19.100000000000001</v>
      </c>
      <c r="D67" s="47">
        <v>27.5</v>
      </c>
      <c r="E67" s="47">
        <v>33.9</v>
      </c>
      <c r="F67" s="47">
        <v>40.5</v>
      </c>
      <c r="G67" s="47">
        <v>50.1</v>
      </c>
      <c r="H67" s="47">
        <v>58.2</v>
      </c>
      <c r="I67" s="9"/>
    </row>
    <row r="68" spans="1:9" x14ac:dyDescent="0.25">
      <c r="A68" s="38">
        <v>60</v>
      </c>
      <c r="B68" s="47">
        <v>13.7</v>
      </c>
      <c r="C68" s="47">
        <v>15.7</v>
      </c>
      <c r="D68" s="47">
        <v>22.5</v>
      </c>
      <c r="E68" s="47">
        <v>27.6</v>
      </c>
      <c r="F68" s="47">
        <v>33</v>
      </c>
      <c r="G68" s="47">
        <v>40.799999999999997</v>
      </c>
      <c r="H68" s="47">
        <v>47.3</v>
      </c>
      <c r="I68" s="9"/>
    </row>
    <row r="69" spans="1:9" x14ac:dyDescent="0.25">
      <c r="A69" s="38">
        <v>90</v>
      </c>
      <c r="B69" s="47">
        <v>10.4</v>
      </c>
      <c r="C69" s="47">
        <v>11.9</v>
      </c>
      <c r="D69" s="47">
        <v>16.8</v>
      </c>
      <c r="E69" s="47">
        <v>20.5</v>
      </c>
      <c r="F69" s="47">
        <v>24.4</v>
      </c>
      <c r="G69" s="47">
        <v>30.1</v>
      </c>
      <c r="H69" s="47">
        <v>34.799999999999997</v>
      </c>
      <c r="I69" s="9"/>
    </row>
    <row r="70" spans="1:9" x14ac:dyDescent="0.25">
      <c r="A70" s="38">
        <v>120</v>
      </c>
      <c r="B70" s="47">
        <v>8.51</v>
      </c>
      <c r="C70" s="47">
        <v>9.69</v>
      </c>
      <c r="D70" s="47">
        <v>13.6</v>
      </c>
      <c r="E70" s="47">
        <v>16.600000000000001</v>
      </c>
      <c r="F70" s="47">
        <v>19.600000000000001</v>
      </c>
      <c r="G70" s="47">
        <v>24.1</v>
      </c>
      <c r="H70" s="47">
        <v>27.7</v>
      </c>
      <c r="I70" s="9"/>
    </row>
    <row r="71" spans="1:9" x14ac:dyDescent="0.25">
      <c r="A71" s="9"/>
      <c r="B71" s="9"/>
      <c r="C71" s="9"/>
      <c r="D71" s="9"/>
      <c r="E71" s="9"/>
      <c r="F71" s="9"/>
      <c r="G71" s="9"/>
      <c r="H71" s="9"/>
      <c r="I71" s="9"/>
    </row>
    <row r="72" spans="1:9" x14ac:dyDescent="0.25">
      <c r="A72" s="9"/>
      <c r="B72" s="9"/>
      <c r="C72" s="31" t="s">
        <v>63</v>
      </c>
      <c r="D72" s="36">
        <f>G105</f>
        <v>75.923999999999978</v>
      </c>
      <c r="E72" s="9" t="s">
        <v>17</v>
      </c>
      <c r="F72" s="9"/>
      <c r="G72" s="9"/>
      <c r="H72" s="9"/>
    </row>
    <row r="73" spans="1:9" x14ac:dyDescent="0.25">
      <c r="A73" s="9"/>
      <c r="B73" s="9"/>
      <c r="C73" s="9"/>
      <c r="D73" s="9"/>
      <c r="E73" s="9"/>
      <c r="F73" s="9"/>
      <c r="G73" s="9"/>
      <c r="H73" s="9"/>
      <c r="I73" s="8"/>
    </row>
    <row r="74" spans="1:9" x14ac:dyDescent="0.25">
      <c r="A74" s="9"/>
      <c r="B74" s="9"/>
      <c r="C74" s="9"/>
      <c r="D74" s="9"/>
      <c r="E74" s="9"/>
      <c r="F74" s="9"/>
      <c r="H74" s="9"/>
      <c r="I74" s="8"/>
    </row>
    <row r="75" spans="1:9" x14ac:dyDescent="0.25">
      <c r="A75" s="31"/>
      <c r="B75" s="32">
        <v>8</v>
      </c>
      <c r="C75" s="34">
        <f>F84</f>
        <v>2.9999999999999997E-4</v>
      </c>
      <c r="D75" s="9"/>
      <c r="E75" s="9"/>
      <c r="F75" s="35">
        <f>G84</f>
        <v>2.9999999999999997E-4</v>
      </c>
      <c r="G75" s="33">
        <f>G81</f>
        <v>131</v>
      </c>
      <c r="H75" s="9"/>
      <c r="I75" s="8"/>
    </row>
    <row r="76" spans="1:9" x14ac:dyDescent="0.25">
      <c r="A76" s="9"/>
      <c r="B76" s="9"/>
      <c r="C76" s="9"/>
      <c r="D76" s="33">
        <f>G82</f>
        <v>47.3</v>
      </c>
      <c r="E76" s="9"/>
      <c r="F76" s="9"/>
      <c r="G76" s="9"/>
      <c r="H76" s="9"/>
      <c r="I76" s="8"/>
    </row>
    <row r="77" spans="1:9" x14ac:dyDescent="0.25">
      <c r="A77" s="9"/>
      <c r="B77" s="9"/>
      <c r="C77" s="9"/>
      <c r="D77" s="9"/>
      <c r="E77" s="9"/>
      <c r="F77" s="9"/>
      <c r="G77" s="9"/>
      <c r="H77" s="9"/>
      <c r="I77" s="8"/>
    </row>
    <row r="78" spans="1:9" x14ac:dyDescent="0.25">
      <c r="A78" s="9"/>
      <c r="B78" s="9"/>
      <c r="C78" s="9"/>
      <c r="D78" s="9" t="s">
        <v>61</v>
      </c>
      <c r="E78" s="9"/>
      <c r="F78" s="9"/>
      <c r="H78" s="9"/>
    </row>
    <row r="79" spans="1:9" x14ac:dyDescent="0.25">
      <c r="A79" s="9"/>
      <c r="B79" s="22" t="s">
        <v>18</v>
      </c>
      <c r="C79" s="9" t="s">
        <v>19</v>
      </c>
      <c r="D79" s="9"/>
      <c r="E79" s="9"/>
      <c r="F79" s="9"/>
      <c r="G79" s="48">
        <v>5</v>
      </c>
      <c r="H79" s="9" t="s">
        <v>20</v>
      </c>
      <c r="I79" s="9"/>
    </row>
    <row r="80" spans="1:9" x14ac:dyDescent="0.25">
      <c r="A80" s="9"/>
      <c r="B80" s="22"/>
      <c r="C80" s="9"/>
      <c r="D80" s="9"/>
      <c r="E80" s="9"/>
      <c r="F80" s="18" t="s">
        <v>67</v>
      </c>
      <c r="G80" s="40" t="s">
        <v>68</v>
      </c>
      <c r="H80" s="9"/>
      <c r="I80" s="9"/>
    </row>
    <row r="81" spans="1:19" x14ac:dyDescent="0.25">
      <c r="A81" s="9"/>
      <c r="B81" s="9" t="s">
        <v>9</v>
      </c>
      <c r="C81" s="9"/>
      <c r="D81" s="9"/>
      <c r="E81" s="8"/>
      <c r="F81" s="49">
        <v>8</v>
      </c>
      <c r="G81" s="49">
        <v>131</v>
      </c>
      <c r="H81" s="9" t="s">
        <v>10</v>
      </c>
      <c r="I81" s="9"/>
    </row>
    <row r="82" spans="1:19" x14ac:dyDescent="0.25">
      <c r="A82" s="9"/>
      <c r="B82" s="9" t="s">
        <v>11</v>
      </c>
      <c r="C82" s="9"/>
      <c r="D82" s="9"/>
      <c r="E82" s="8"/>
      <c r="F82" s="49">
        <v>47.3</v>
      </c>
      <c r="G82" s="49">
        <v>47.3</v>
      </c>
      <c r="H82" s="9" t="s">
        <v>10</v>
      </c>
      <c r="I82" s="9"/>
    </row>
    <row r="83" spans="1:19" x14ac:dyDescent="0.25">
      <c r="A83" s="9"/>
      <c r="B83" s="9"/>
      <c r="C83" s="9"/>
      <c r="D83" s="9"/>
      <c r="E83" s="8"/>
      <c r="F83" s="18">
        <f>ABS(F81-F82)</f>
        <v>39.299999999999997</v>
      </c>
      <c r="G83" s="18">
        <f>ABS(G81-G82)</f>
        <v>83.7</v>
      </c>
      <c r="H83" s="9" t="s">
        <v>10</v>
      </c>
      <c r="I83" s="9"/>
    </row>
    <row r="84" spans="1:19" x14ac:dyDescent="0.25">
      <c r="A84" s="9"/>
      <c r="B84" s="9" t="s">
        <v>12</v>
      </c>
      <c r="C84" s="9"/>
      <c r="D84" s="9"/>
      <c r="E84" s="8"/>
      <c r="F84" s="49">
        <f>0.3/1000</f>
        <v>2.9999999999999997E-4</v>
      </c>
      <c r="G84" s="49">
        <f>0.3/1000</f>
        <v>2.9999999999999997E-4</v>
      </c>
      <c r="H84" s="9" t="s">
        <v>13</v>
      </c>
      <c r="I84" s="9"/>
    </row>
    <row r="85" spans="1:19" x14ac:dyDescent="0.25">
      <c r="A85" s="9"/>
      <c r="B85" s="9"/>
      <c r="C85" s="9"/>
      <c r="D85" s="9"/>
      <c r="E85" s="9"/>
      <c r="F85" s="9"/>
      <c r="G85" s="9"/>
      <c r="H85" s="9"/>
      <c r="I85" s="9"/>
    </row>
    <row r="86" spans="1:19" x14ac:dyDescent="0.25">
      <c r="A86" s="9"/>
      <c r="B86" s="9" t="s">
        <v>21</v>
      </c>
      <c r="C86" s="9"/>
      <c r="D86" s="9"/>
      <c r="E86" s="9" t="s">
        <v>22</v>
      </c>
      <c r="F86" s="9" t="s">
        <v>16</v>
      </c>
      <c r="G86" s="50">
        <v>737</v>
      </c>
      <c r="H86" s="24" t="s">
        <v>47</v>
      </c>
      <c r="I86" s="9"/>
      <c r="S86" s="2"/>
    </row>
    <row r="87" spans="1:19" x14ac:dyDescent="0.25">
      <c r="A87" s="9"/>
      <c r="C87" s="9"/>
      <c r="D87" s="9"/>
      <c r="E87" s="9"/>
      <c r="F87" s="9"/>
      <c r="G87" s="37"/>
      <c r="H87" s="9"/>
      <c r="I87" s="9"/>
      <c r="S87" s="1"/>
    </row>
    <row r="88" spans="1:19" x14ac:dyDescent="0.25">
      <c r="A88" s="9"/>
      <c r="B88" s="9"/>
      <c r="C88" s="9"/>
      <c r="D88" s="26">
        <f>G88/100</f>
        <v>7.3700000000000002E-4</v>
      </c>
      <c r="E88" s="9" t="s">
        <v>48</v>
      </c>
      <c r="F88" s="9" t="s">
        <v>16</v>
      </c>
      <c r="G88" s="25">
        <f>G86/10^4</f>
        <v>7.3700000000000002E-2</v>
      </c>
      <c r="H88" s="9" t="s">
        <v>23</v>
      </c>
      <c r="I88" s="9"/>
    </row>
    <row r="89" spans="1:19" x14ac:dyDescent="0.25">
      <c r="A89" s="9"/>
      <c r="B89" s="42" t="s">
        <v>66</v>
      </c>
      <c r="C89" s="9"/>
      <c r="D89" s="9"/>
      <c r="E89" s="9"/>
      <c r="F89" s="9"/>
      <c r="G89" s="8"/>
      <c r="H89" s="8"/>
      <c r="I89" s="9"/>
      <c r="S89" s="3"/>
    </row>
    <row r="90" spans="1:19" x14ac:dyDescent="0.25">
      <c r="A90" s="9"/>
      <c r="B90" s="9" t="s">
        <v>69</v>
      </c>
      <c r="C90" s="9"/>
      <c r="D90" s="9"/>
      <c r="E90" s="9"/>
      <c r="F90" s="9" t="s">
        <v>16</v>
      </c>
      <c r="G90" s="30">
        <f>58.5*(F83/1000)/((D88^0.1)*F84^0.2)</f>
        <v>23.953965334866609</v>
      </c>
      <c r="H90" s="9" t="s">
        <v>24</v>
      </c>
      <c r="I90" s="9"/>
    </row>
    <row r="91" spans="1:19" x14ac:dyDescent="0.25">
      <c r="A91" s="9"/>
      <c r="B91" s="9" t="s">
        <v>70</v>
      </c>
      <c r="C91" s="9"/>
      <c r="D91" s="9"/>
      <c r="E91" s="9"/>
      <c r="F91" s="9" t="s">
        <v>16</v>
      </c>
      <c r="G91" s="30">
        <f>58.5*(G83/1000)/((D88^0.1)*G84^0.2)</f>
        <v>51.016460522349497</v>
      </c>
      <c r="H91" s="9" t="s">
        <v>24</v>
      </c>
      <c r="I91" s="9"/>
    </row>
    <row r="92" spans="1:19" x14ac:dyDescent="0.25">
      <c r="A92" s="9"/>
      <c r="B92" s="9" t="s">
        <v>71</v>
      </c>
      <c r="C92" s="9"/>
      <c r="D92" s="9"/>
      <c r="E92" s="9"/>
      <c r="F92" s="9"/>
      <c r="G92" s="23"/>
      <c r="H92" s="9"/>
      <c r="I92" s="9"/>
    </row>
    <row r="93" spans="1:19" x14ac:dyDescent="0.25">
      <c r="A93" s="9"/>
      <c r="B93" s="9" t="s">
        <v>65</v>
      </c>
      <c r="C93" s="9"/>
      <c r="D93" s="9"/>
      <c r="E93" s="9"/>
      <c r="F93" s="9"/>
      <c r="G93" s="51">
        <f>MIN(G90:G91)*0+10</f>
        <v>10</v>
      </c>
      <c r="H93" s="9" t="s">
        <v>24</v>
      </c>
      <c r="I93" s="9"/>
      <c r="S93" s="1"/>
    </row>
    <row r="94" spans="1:19" x14ac:dyDescent="0.25">
      <c r="A94" s="9"/>
      <c r="B94" s="9" t="s">
        <v>72</v>
      </c>
      <c r="C94" s="9"/>
      <c r="D94" s="9"/>
      <c r="E94" s="9"/>
      <c r="F94" s="9"/>
      <c r="G94" s="23">
        <f>MIN(G90:G93)</f>
        <v>10</v>
      </c>
      <c r="H94" s="9" t="s">
        <v>24</v>
      </c>
      <c r="I94" s="9"/>
    </row>
    <row r="95" spans="1:19" x14ac:dyDescent="0.25">
      <c r="A95" s="9"/>
      <c r="B95" s="9"/>
      <c r="C95" s="9"/>
      <c r="D95" s="9"/>
      <c r="E95" s="9"/>
      <c r="F95" s="9"/>
      <c r="G95" s="9"/>
      <c r="H95" s="9"/>
      <c r="I95" s="9"/>
    </row>
    <row r="96" spans="1:19" x14ac:dyDescent="0.25">
      <c r="A96" s="9"/>
      <c r="B96" s="17" t="s">
        <v>14</v>
      </c>
      <c r="C96" s="18">
        <v>1</v>
      </c>
      <c r="D96" s="18">
        <v>2</v>
      </c>
      <c r="E96" s="18">
        <v>5</v>
      </c>
      <c r="F96" s="18">
        <v>10</v>
      </c>
      <c r="G96" s="18">
        <v>20</v>
      </c>
      <c r="H96" s="18">
        <v>50</v>
      </c>
      <c r="I96" s="18">
        <v>100</v>
      </c>
      <c r="N96" s="43"/>
    </row>
    <row r="97" spans="1:14" x14ac:dyDescent="0.25">
      <c r="A97" s="9"/>
      <c r="B97" s="18" t="s">
        <v>42</v>
      </c>
      <c r="C97" s="18">
        <v>0.8</v>
      </c>
      <c r="D97" s="18">
        <v>0.85</v>
      </c>
      <c r="E97" s="18">
        <v>0.95</v>
      </c>
      <c r="F97" s="18">
        <v>1</v>
      </c>
      <c r="G97" s="18">
        <v>1.05</v>
      </c>
      <c r="H97" s="18">
        <v>1.1499999999999999</v>
      </c>
      <c r="I97" s="18">
        <v>1.2</v>
      </c>
    </row>
    <row r="98" spans="1:14" x14ac:dyDescent="0.25">
      <c r="A98" s="9"/>
      <c r="B98" s="41">
        <f>INDEX(Table1[Duration],MATCH(G94,Table1[Duration],1),1)</f>
        <v>10</v>
      </c>
      <c r="C98" s="18">
        <f>INDEX(Table1[63.20%],MATCH(G94,Table1[Duration],1),1)</f>
        <v>39.700000000000003</v>
      </c>
      <c r="D98" s="18">
        <f>INDEX(Table1[50%'#],MATCH(G94,Table1[Duration],1),1)</f>
        <v>45.9</v>
      </c>
      <c r="E98" s="18">
        <f>INDEX(Table1[20%*],MATCH(G94,Table1[Duration],1),1)</f>
        <v>66.599999999999994</v>
      </c>
      <c r="F98" s="18">
        <f>INDEX(Table1[10%],MATCH(G94,Table1[Duration],1),1)</f>
        <v>82.1</v>
      </c>
      <c r="G98" s="18">
        <f>INDEX(Table1[5%],MATCH(G94,Table1[Duration],1),1)</f>
        <v>98.4</v>
      </c>
      <c r="H98" s="18">
        <f>INDEX(Table1[2%],MATCH(G94,Table1[Duration],1),1)</f>
        <v>122</v>
      </c>
      <c r="I98" s="18">
        <f>INDEX(Table1[1%],MATCH(G94,Table1[Duration],1),1)</f>
        <v>141</v>
      </c>
      <c r="N98" s="1"/>
    </row>
    <row r="99" spans="1:14" x14ac:dyDescent="0.25">
      <c r="A99" s="9"/>
      <c r="B99" s="41" cm="1">
        <f t="array" ref="B99">INDEX(Table1[Duration],MATCH(G94,Table1[Duration],1)+1,1)</f>
        <v>15</v>
      </c>
      <c r="C99" s="18" cm="1">
        <f t="array" ref="C99">INDEX(Table1[63.20%],MATCH(G94,Table1[Duration],1)+1,1)</f>
        <v>32.299999999999997</v>
      </c>
      <c r="D99" s="18" cm="1">
        <f t="array" ref="D99">INDEX(Table1[50%'#],MATCH(G94,Table1[Duration],1)+1,1)</f>
        <v>37.299999999999997</v>
      </c>
      <c r="E99" s="18" cm="1">
        <f t="array" ref="E99">INDEX(Table1[20%*],MATCH(G94,Table1[Duration],1)+1,1)</f>
        <v>54.3</v>
      </c>
      <c r="F99" s="18" cm="1">
        <f t="array" ref="F99">INDEX(Table1[10%],MATCH(G94,Table1[Duration],1)+1,1)</f>
        <v>67</v>
      </c>
      <c r="G99" s="18" cm="1">
        <f t="array" ref="G99">INDEX(Table1[5%],MATCH(G94,Table1[Duration],1)+1,1)</f>
        <v>80.3</v>
      </c>
      <c r="H99" s="18" cm="1">
        <f t="array" ref="H99">INDEX(Table1[2%],MATCH(G94,Table1[Duration],1)+1,1)</f>
        <v>99.4</v>
      </c>
      <c r="I99" s="18" cm="1">
        <f t="array" ref="I99">INDEX(Table1[1%],MATCH(G94,Table1[Duration],1)+1,1)</f>
        <v>115</v>
      </c>
    </row>
    <row r="100" spans="1:14" ht="24.75" x14ac:dyDescent="0.25">
      <c r="A100" s="9"/>
      <c r="B100" s="19" t="s">
        <v>15</v>
      </c>
      <c r="C100" s="44">
        <f t="shared" ref="C100:I100" si="0">C98+((C99-C98)/($B99-$B98))*($G$94-$B98)</f>
        <v>39.700000000000003</v>
      </c>
      <c r="D100" s="44">
        <f t="shared" si="0"/>
        <v>45.9</v>
      </c>
      <c r="E100" s="44">
        <f t="shared" si="0"/>
        <v>66.599999999999994</v>
      </c>
      <c r="F100" s="44">
        <f t="shared" si="0"/>
        <v>82.1</v>
      </c>
      <c r="G100" s="44">
        <f t="shared" si="0"/>
        <v>98.4</v>
      </c>
      <c r="H100" s="44">
        <f t="shared" si="0"/>
        <v>122</v>
      </c>
      <c r="I100" s="44">
        <f t="shared" si="0"/>
        <v>141</v>
      </c>
    </row>
    <row r="101" spans="1:14" x14ac:dyDescent="0.25">
      <c r="A101" s="9"/>
      <c r="B101" s="18" t="s">
        <v>43</v>
      </c>
      <c r="C101" s="20">
        <f>C100*C97</f>
        <v>31.760000000000005</v>
      </c>
      <c r="D101" s="20">
        <f t="shared" ref="D101:I101" si="1">D100*D97</f>
        <v>39.015000000000001</v>
      </c>
      <c r="E101" s="20">
        <f t="shared" si="1"/>
        <v>63.269999999999989</v>
      </c>
      <c r="F101" s="20">
        <f t="shared" si="1"/>
        <v>82.1</v>
      </c>
      <c r="G101" s="20">
        <f t="shared" si="1"/>
        <v>103.32000000000001</v>
      </c>
      <c r="H101" s="20">
        <f t="shared" si="1"/>
        <v>140.29999999999998</v>
      </c>
      <c r="I101" s="20">
        <f t="shared" si="1"/>
        <v>169.2</v>
      </c>
    </row>
    <row r="102" spans="1:14" x14ac:dyDescent="0.25">
      <c r="A102" s="9"/>
      <c r="B102" s="9"/>
      <c r="C102" s="9"/>
      <c r="D102" s="9"/>
      <c r="E102" s="9"/>
      <c r="F102" s="9"/>
      <c r="G102" s="9"/>
      <c r="H102" s="9"/>
      <c r="I102" s="9"/>
    </row>
    <row r="103" spans="1:14" x14ac:dyDescent="0.25">
      <c r="A103" s="9"/>
      <c r="B103" s="9" t="s">
        <v>73</v>
      </c>
      <c r="C103" s="9"/>
      <c r="D103" s="9"/>
      <c r="E103" s="9"/>
      <c r="F103" s="9" t="s">
        <v>16</v>
      </c>
      <c r="G103" s="52">
        <v>1.2</v>
      </c>
      <c r="H103" s="9"/>
      <c r="I103" s="9"/>
    </row>
    <row r="104" spans="1:14" x14ac:dyDescent="0.25">
      <c r="A104" s="9"/>
      <c r="B104" s="9"/>
      <c r="C104" s="9" t="s">
        <v>44</v>
      </c>
      <c r="D104" s="9"/>
      <c r="E104" s="9"/>
      <c r="F104" s="9" t="s">
        <v>16</v>
      </c>
      <c r="G104" s="21">
        <f>I101</f>
        <v>169.2</v>
      </c>
      <c r="H104" s="9" t="s">
        <v>17</v>
      </c>
      <c r="I104" s="9"/>
    </row>
    <row r="105" spans="1:14" x14ac:dyDescent="0.25">
      <c r="A105" s="9"/>
      <c r="B105" s="9"/>
      <c r="C105" s="9" t="s">
        <v>45</v>
      </c>
      <c r="D105" s="9"/>
      <c r="E105" s="9"/>
      <c r="F105" s="9" t="s">
        <v>16</v>
      </c>
      <c r="G105" s="39">
        <f>INDEX(C101:I101,1,MATCH(G79,C96:I96,0))*G103</f>
        <v>75.923999999999978</v>
      </c>
      <c r="H105" s="9" t="s">
        <v>17</v>
      </c>
      <c r="I105" s="9"/>
    </row>
    <row r="106" spans="1:14" x14ac:dyDescent="0.25">
      <c r="A106" s="9"/>
      <c r="B106" s="9"/>
      <c r="C106" s="9" t="s">
        <v>46</v>
      </c>
      <c r="D106" s="9"/>
      <c r="E106" s="9"/>
      <c r="F106" s="9" t="s">
        <v>16</v>
      </c>
      <c r="G106" s="23">
        <f>G104-G105</f>
        <v>93.27600000000001</v>
      </c>
      <c r="H106" s="9" t="s">
        <v>17</v>
      </c>
      <c r="I106" s="9"/>
    </row>
    <row r="107" spans="1:14" x14ac:dyDescent="0.25">
      <c r="A107" s="9"/>
      <c r="B107" s="9"/>
      <c r="C107" s="9"/>
      <c r="D107" s="9"/>
      <c r="E107" s="9"/>
      <c r="F107" s="9"/>
      <c r="G107" s="23"/>
      <c r="H107" s="9"/>
      <c r="I107" s="9"/>
    </row>
    <row r="108" spans="1:14" x14ac:dyDescent="0.25">
      <c r="A108" s="9"/>
      <c r="B108" s="9" t="s">
        <v>25</v>
      </c>
      <c r="C108" s="9"/>
      <c r="D108" s="9" t="s">
        <v>26</v>
      </c>
      <c r="E108" s="9"/>
      <c r="F108" s="9" t="s">
        <v>16</v>
      </c>
      <c r="G108" s="53">
        <f>0.278*10^-6</f>
        <v>2.7800000000000003E-7</v>
      </c>
      <c r="H108" s="9" t="s">
        <v>49</v>
      </c>
      <c r="I108" s="9"/>
    </row>
    <row r="109" spans="1:14" x14ac:dyDescent="0.25">
      <c r="A109" s="9"/>
      <c r="B109" s="9" t="s">
        <v>50</v>
      </c>
      <c r="C109" s="9"/>
      <c r="D109" s="9"/>
      <c r="E109" s="9"/>
      <c r="F109" s="9"/>
      <c r="G109" s="50">
        <v>0.9</v>
      </c>
      <c r="H109" s="9"/>
      <c r="I109" s="9"/>
    </row>
    <row r="110" spans="1:14" x14ac:dyDescent="0.25">
      <c r="A110" s="9"/>
      <c r="B110" s="9"/>
      <c r="C110" s="9"/>
      <c r="D110" s="9"/>
      <c r="E110" s="9"/>
      <c r="F110" s="9"/>
      <c r="G110" s="16"/>
      <c r="H110" s="9"/>
      <c r="I110" s="9"/>
    </row>
    <row r="111" spans="1:14" x14ac:dyDescent="0.25">
      <c r="A111" s="9"/>
      <c r="B111" s="9" t="s">
        <v>51</v>
      </c>
      <c r="C111" s="9"/>
      <c r="D111" s="9"/>
      <c r="E111" s="9"/>
      <c r="F111" s="9"/>
      <c r="G111" s="23">
        <f>G105</f>
        <v>75.923999999999978</v>
      </c>
      <c r="H111" s="9"/>
    </row>
    <row r="112" spans="1:14" x14ac:dyDescent="0.25">
      <c r="A112" s="9"/>
      <c r="B112" s="9" t="s">
        <v>62</v>
      </c>
      <c r="C112" s="9"/>
      <c r="D112" s="9"/>
      <c r="E112" s="9"/>
      <c r="F112" s="9"/>
      <c r="G112" s="9"/>
      <c r="H112" s="9"/>
      <c r="I112" s="9"/>
    </row>
    <row r="113" spans="1:9" x14ac:dyDescent="0.25">
      <c r="A113" s="9"/>
      <c r="B113" s="9" t="s">
        <v>52</v>
      </c>
      <c r="C113" s="9" t="s">
        <v>16</v>
      </c>
      <c r="D113" s="9"/>
      <c r="E113" s="9"/>
      <c r="F113" s="9"/>
      <c r="G113" s="27">
        <f>G108*G109*G105*G86</f>
        <v>1.4000188197599999E-2</v>
      </c>
      <c r="H113" s="9" t="s">
        <v>53</v>
      </c>
      <c r="I113" s="9"/>
    </row>
    <row r="114" spans="1:9" x14ac:dyDescent="0.25">
      <c r="A114" s="9"/>
      <c r="B114" s="9"/>
      <c r="C114" s="9"/>
      <c r="D114" s="9"/>
      <c r="E114" s="9"/>
      <c r="F114" s="9"/>
      <c r="G114" s="9"/>
      <c r="H114" s="9"/>
      <c r="I114" s="9"/>
    </row>
    <row r="115" spans="1:9" x14ac:dyDescent="0.25">
      <c r="A115" s="9"/>
      <c r="B115" s="9"/>
      <c r="C115" s="9"/>
      <c r="D115" s="9"/>
      <c r="E115" s="9"/>
      <c r="F115" s="9"/>
      <c r="G115" s="9"/>
      <c r="H115" s="9"/>
      <c r="I115" s="9"/>
    </row>
  </sheetData>
  <sheetProtection algorithmName="SHA-512" hashValue="ygE9AhCya79t0H4AtaFboeERiq6hlUIVfWiQMSmhT9sMwJKdK5n892C7+GPM2jbd18HrtxnLjxRv38GGS2iNug==" saltValue="MlUCZGoZ7MvMRGptgNn32Q==" spinCount="100000" sheet="1" objects="1" scenarios="1"/>
  <mergeCells count="10">
    <mergeCell ref="A47:I47"/>
    <mergeCell ref="A1:B1"/>
    <mergeCell ref="C1:G1"/>
    <mergeCell ref="H1:I1"/>
    <mergeCell ref="A2:B2"/>
    <mergeCell ref="C2:D2"/>
    <mergeCell ref="E2:F2"/>
    <mergeCell ref="G2:H2"/>
    <mergeCell ref="A3:I3"/>
    <mergeCell ref="B13:H16"/>
  </mergeCells>
  <hyperlinks>
    <hyperlink ref="A47" r:id="rId1" xr:uid="{C36A03BF-DB2D-41C7-978C-76A5683D1639}"/>
  </hyperlinks>
  <pageMargins left="0.70866141732283472" right="0.70866141732283472" top="0.74803149606299213" bottom="0.74803149606299213" header="0.31496062992125984" footer="0.31496062992125984"/>
  <pageSetup paperSize="9" orientation="portrait" r:id="rId2"/>
  <headerFooter>
    <oddHeader>&amp;C&amp;"Calibri"&amp;10&amp;KFF0000 OFFICIAL&amp;1#_x000D_</oddHeader>
  </headerFooter>
  <drawing r:id="rId3"/>
  <tableParts count="1">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Harjot Singh</dc:creator>
  <cp:lastModifiedBy>Harjot Singh</cp:lastModifiedBy>
  <cp:lastPrinted>2025-09-05T01:07:49Z</cp:lastPrinted>
  <dcterms:created xsi:type="dcterms:W3CDTF">2025-08-31T10:44:44Z</dcterms:created>
  <dcterms:modified xsi:type="dcterms:W3CDTF">2025-09-06T00:16:00Z</dcterms:modified>
</cp:coreProperties>
</file>