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HarjotSingh\Downloads\deploy-68969633c7658b526efc433f\assets\"/>
    </mc:Choice>
  </mc:AlternateContent>
  <xr:revisionPtr revIDLastSave="0" documentId="13_ncr:1_{C7FF6759-2180-4E0D-9E05-23545C5A6069}" xr6:coauthVersionLast="47" xr6:coauthVersionMax="47" xr10:uidLastSave="{00000000-0000-0000-0000-000000000000}"/>
  <bookViews>
    <workbookView xWindow="-120" yWindow="-120" windowWidth="29040" windowHeight="15720" xr2:uid="{708F6BA9-4604-4387-94CD-08CF62EBB376}"/>
  </bookViews>
  <sheets>
    <sheet name="Sheet1" sheetId="1" r:id="rId1"/>
  </sheets>
  <definedNames>
    <definedName name="_xlnm.Print_Area" localSheetId="0">Sheet1!$A$1:$I$627</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1" i="1" l="1"/>
  <c r="F574" i="1"/>
  <c r="G578" i="1"/>
  <c r="E580" i="1"/>
  <c r="E585" i="1" s="1"/>
  <c r="F562" i="1"/>
  <c r="F565" i="1" s="1"/>
  <c r="F554" i="1"/>
  <c r="F557" i="1"/>
  <c r="D585" i="1"/>
  <c r="H98" i="1"/>
  <c r="F424" i="1" s="1"/>
  <c r="H100" i="1"/>
  <c r="G167" i="1" s="1"/>
  <c r="H99" i="1"/>
  <c r="H235" i="1"/>
  <c r="D342" i="1"/>
  <c r="I114" i="1"/>
  <c r="E117" i="1" s="1"/>
  <c r="H129" i="1"/>
  <c r="E134" i="1"/>
  <c r="G137" i="1" s="1"/>
  <c r="G138" i="1" s="1"/>
  <c r="G144" i="1" s="1"/>
  <c r="C494" i="1"/>
  <c r="H494" i="1"/>
  <c r="C475" i="1"/>
  <c r="H475" i="1"/>
  <c r="E154" i="1"/>
  <c r="E167" i="1"/>
  <c r="C184" i="1" s="1"/>
  <c r="F422" i="1"/>
  <c r="F419" i="1"/>
  <c r="D111" i="1"/>
  <c r="F111" i="1"/>
  <c r="F167" i="1"/>
  <c r="D184" i="1"/>
  <c r="G184" i="1" s="1"/>
  <c r="F109" i="1"/>
  <c r="G341" i="1"/>
  <c r="F547" i="1"/>
  <c r="F548" i="1"/>
  <c r="E590" i="1"/>
  <c r="G590" i="1" s="1"/>
  <c r="G589" i="1" s="1"/>
  <c r="E583" i="1"/>
  <c r="G583" i="1" s="1"/>
  <c r="G582" i="1" s="1"/>
  <c r="G588" i="1"/>
  <c r="G584" i="1"/>
  <c r="G581" i="1"/>
  <c r="F570" i="1"/>
  <c r="D51" i="1"/>
  <c r="G51" i="1"/>
  <c r="I54" i="1"/>
  <c r="E57" i="1"/>
  <c r="E59" i="1"/>
  <c r="I64" i="1"/>
  <c r="C66" i="1"/>
  <c r="F66" i="1"/>
  <c r="H66" i="1"/>
  <c r="H101" i="1"/>
  <c r="F154" i="1"/>
  <c r="C161" i="1"/>
  <c r="H160" i="1" s="1"/>
  <c r="F550" i="1"/>
  <c r="F551" i="1" s="1"/>
  <c r="F552" i="1" s="1"/>
  <c r="D250" i="1"/>
  <c r="F250" i="1"/>
  <c r="D117" i="1"/>
  <c r="F421" i="1"/>
  <c r="F117" i="1"/>
  <c r="F342" i="1"/>
  <c r="E159" i="1"/>
  <c r="I217" i="1"/>
  <c r="I309" i="1"/>
  <c r="I401" i="1"/>
  <c r="I493" i="1"/>
  <c r="B198" i="1"/>
  <c r="B290" i="1"/>
  <c r="B382" i="1"/>
  <c r="B474" i="1" s="1"/>
  <c r="H217" i="1"/>
  <c r="H309" i="1" s="1"/>
  <c r="H401" i="1" s="1"/>
  <c r="H493" i="1" s="1"/>
  <c r="C198" i="1"/>
  <c r="C290" i="1"/>
  <c r="C382" i="1" s="1"/>
  <c r="C474" i="1" s="1"/>
  <c r="G145" i="1" l="1"/>
  <c r="B184" i="1"/>
  <c r="H162" i="1"/>
  <c r="H427" i="1"/>
  <c r="F440" i="1"/>
  <c r="D202" i="1"/>
  <c r="D519" i="1" s="1"/>
  <c r="D294" i="1"/>
  <c r="E519" i="1" s="1"/>
  <c r="H184" i="1"/>
  <c r="G202" i="1" s="1"/>
  <c r="D525" i="1" s="1"/>
  <c r="C249" i="1"/>
  <c r="G294" i="1"/>
  <c r="E525" i="1" s="1"/>
  <c r="E587" i="1"/>
  <c r="G587" i="1" s="1"/>
  <c r="G585" i="1"/>
  <c r="F238" i="1"/>
  <c r="F174" i="1"/>
  <c r="G579" i="1"/>
  <c r="D249" i="1"/>
  <c r="C217" i="1"/>
  <c r="C309" i="1" s="1"/>
  <c r="C401" i="1" s="1"/>
  <c r="C493" i="1" s="1"/>
  <c r="B217" i="1"/>
  <c r="B309" i="1" s="1"/>
  <c r="B401" i="1" s="1"/>
  <c r="B493" i="1" s="1"/>
  <c r="H198" i="1"/>
  <c r="H290" i="1" s="1"/>
  <c r="H382" i="1" s="1"/>
  <c r="H474" i="1" s="1"/>
  <c r="I198" i="1"/>
  <c r="I290" i="1" s="1"/>
  <c r="I382" i="1" s="1"/>
  <c r="I474" i="1" s="1"/>
  <c r="D189" i="1"/>
  <c r="B218" i="1" s="1"/>
  <c r="D190" i="1"/>
  <c r="B199" i="1" s="1"/>
  <c r="E121" i="1"/>
  <c r="G580" i="1"/>
  <c r="G249" i="1" l="1"/>
  <c r="H249" i="1"/>
  <c r="C341" i="1"/>
  <c r="E594" i="1"/>
  <c r="E595" i="1"/>
  <c r="E288" i="1"/>
  <c r="E522" i="1" s="1"/>
  <c r="D284" i="1"/>
  <c r="H291" i="1" s="1"/>
  <c r="E330" i="1"/>
  <c r="D283" i="1"/>
  <c r="C291" i="1" s="1"/>
  <c r="H465" i="1"/>
  <c r="D465" i="1"/>
  <c r="E250" i="1"/>
  <c r="E185" i="1"/>
  <c r="G148" i="1"/>
  <c r="G149" i="1" s="1"/>
  <c r="D192" i="1"/>
  <c r="H199" i="1" s="1"/>
  <c r="C593" i="1"/>
  <c r="D593" i="1" s="1"/>
  <c r="D191" i="1"/>
  <c r="C199" i="1" s="1"/>
  <c r="E196" i="1"/>
  <c r="D522" i="1" s="1"/>
  <c r="G586" i="1"/>
  <c r="B249" i="1"/>
  <c r="H282" i="1" s="1"/>
  <c r="I310" i="1" s="1"/>
  <c r="I184" i="1"/>
  <c r="H190" i="1" s="1"/>
  <c r="I218" i="1" s="1"/>
  <c r="H341" i="1" l="1"/>
  <c r="G386" i="1"/>
  <c r="F525" i="1" s="1"/>
  <c r="G525" i="1" s="1"/>
  <c r="D386" i="1"/>
  <c r="F519" i="1" s="1"/>
  <c r="G519" i="1" s="1"/>
  <c r="D373" i="1"/>
  <c r="B402" i="1" s="1"/>
  <c r="D374" i="1"/>
  <c r="B383" i="1" s="1"/>
  <c r="C594" i="1"/>
  <c r="D594" i="1" s="1"/>
  <c r="B292" i="1"/>
  <c r="B312" i="1" s="1"/>
  <c r="C200" i="1"/>
  <c r="H201" i="1" s="1"/>
  <c r="B200" i="1"/>
  <c r="D376" i="1"/>
  <c r="H383" i="1" s="1"/>
  <c r="E380" i="1"/>
  <c r="F522" i="1" s="1"/>
  <c r="D375" i="1"/>
  <c r="C383" i="1" s="1"/>
  <c r="H283" i="1"/>
  <c r="H310" i="1" s="1"/>
  <c r="E342" i="1"/>
  <c r="E311" i="1"/>
  <c r="E528" i="1" s="1"/>
  <c r="H284" i="1"/>
  <c r="C310" i="1" s="1"/>
  <c r="H189" i="1"/>
  <c r="I199" i="1" s="1"/>
  <c r="B341" i="1"/>
  <c r="I341" i="1" s="1"/>
  <c r="I249" i="1"/>
  <c r="E593" i="1"/>
  <c r="D281" i="1"/>
  <c r="B310" i="1" s="1"/>
  <c r="G593" i="1"/>
  <c r="H599" i="1"/>
  <c r="H593" i="1"/>
  <c r="I593" i="1" s="1"/>
  <c r="D599" i="1" s="1"/>
  <c r="F599" i="1" s="1"/>
  <c r="E604" i="1"/>
  <c r="D282" i="1"/>
  <c r="B291" i="1" s="1"/>
  <c r="H191" i="1"/>
  <c r="H218" i="1" s="1"/>
  <c r="E219" i="1"/>
  <c r="D528" i="1" s="1"/>
  <c r="H192" i="1"/>
  <c r="C218" i="1" s="1"/>
  <c r="D466" i="1"/>
  <c r="B475" i="1" s="1"/>
  <c r="B494" i="1"/>
  <c r="H466" i="1"/>
  <c r="I494" i="1" s="1"/>
  <c r="I475" i="1"/>
  <c r="G522" i="1"/>
  <c r="H281" i="1"/>
  <c r="I291" i="1" s="1"/>
  <c r="I599" i="1" l="1"/>
  <c r="B384" i="1"/>
  <c r="B404" i="1" s="1"/>
  <c r="C384" i="1"/>
  <c r="H385" i="1" s="1"/>
  <c r="I495" i="1"/>
  <c r="I477" i="1" s="1"/>
  <c r="H495" i="1"/>
  <c r="H219" i="1"/>
  <c r="C220" i="1" s="1"/>
  <c r="B311" i="1"/>
  <c r="B293" i="1" s="1"/>
  <c r="H373" i="1"/>
  <c r="I383" i="1" s="1"/>
  <c r="I384" i="1" s="1"/>
  <c r="I404" i="1" s="1"/>
  <c r="H374" i="1"/>
  <c r="I402" i="1" s="1"/>
  <c r="I200" i="1"/>
  <c r="I220" i="1" s="1"/>
  <c r="I221" i="1" s="1"/>
  <c r="I203" i="1" s="1"/>
  <c r="H200" i="1"/>
  <c r="H292" i="1"/>
  <c r="I219" i="1"/>
  <c r="H476" i="1"/>
  <c r="I476" i="1"/>
  <c r="I496" i="1" s="1"/>
  <c r="C311" i="1"/>
  <c r="H312" i="1" s="1"/>
  <c r="F600" i="1"/>
  <c r="I600" i="1"/>
  <c r="H594" i="1"/>
  <c r="H600" i="1"/>
  <c r="G594" i="1"/>
  <c r="I594" i="1"/>
  <c r="D600" i="1" s="1"/>
  <c r="E605" i="1"/>
  <c r="B495" i="1"/>
  <c r="B477" i="1" s="1"/>
  <c r="C495" i="1"/>
  <c r="H375" i="1"/>
  <c r="H402" i="1" s="1"/>
  <c r="C595" i="1"/>
  <c r="D595" i="1" s="1"/>
  <c r="E403" i="1"/>
  <c r="F528" i="1" s="1"/>
  <c r="G528" i="1" s="1"/>
  <c r="H376" i="1"/>
  <c r="C402" i="1" s="1"/>
  <c r="B403" i="1" s="1"/>
  <c r="B476" i="1"/>
  <c r="B496" i="1" s="1"/>
  <c r="C476" i="1"/>
  <c r="H311" i="1"/>
  <c r="C312" i="1" s="1"/>
  <c r="B313" i="1" s="1"/>
  <c r="B295" i="1" s="1"/>
  <c r="C219" i="1"/>
  <c r="H220" i="1" s="1"/>
  <c r="B219" i="1"/>
  <c r="I292" i="1"/>
  <c r="I312" i="1" s="1"/>
  <c r="I313" i="1" s="1"/>
  <c r="I295" i="1" s="1"/>
  <c r="B220" i="1"/>
  <c r="I311" i="1"/>
  <c r="C292" i="1"/>
  <c r="B385" i="1" l="1"/>
  <c r="H313" i="1"/>
  <c r="C314" i="1" s="1"/>
  <c r="C496" i="1"/>
  <c r="C497" i="1" s="1"/>
  <c r="H221" i="1"/>
  <c r="C222" i="1" s="1"/>
  <c r="C477" i="1"/>
  <c r="C478" i="1" s="1"/>
  <c r="H479" i="1" s="1"/>
  <c r="H384" i="1"/>
  <c r="B221" i="1"/>
  <c r="B203" i="1" s="1"/>
  <c r="C221" i="1"/>
  <c r="C201" i="1"/>
  <c r="I601" i="1"/>
  <c r="G595" i="1"/>
  <c r="I595" i="1"/>
  <c r="D601" i="1" s="1"/>
  <c r="F601" i="1" s="1"/>
  <c r="E606" i="1"/>
  <c r="H601" i="1"/>
  <c r="H595" i="1"/>
  <c r="H403" i="1"/>
  <c r="C404" i="1" s="1"/>
  <c r="B405" i="1" s="1"/>
  <c r="B294" i="1"/>
  <c r="B201" i="1"/>
  <c r="C403" i="1"/>
  <c r="H404" i="1" s="1"/>
  <c r="H405" i="1" s="1"/>
  <c r="C406" i="1" s="1"/>
  <c r="I403" i="1"/>
  <c r="I385" i="1" s="1"/>
  <c r="I386" i="1" s="1"/>
  <c r="I406" i="1" s="1"/>
  <c r="H496" i="1"/>
  <c r="H497" i="1" s="1"/>
  <c r="C498" i="1" s="1"/>
  <c r="I478" i="1"/>
  <c r="I498" i="1" s="1"/>
  <c r="C313" i="1"/>
  <c r="H477" i="1"/>
  <c r="H478" i="1" s="1"/>
  <c r="C479" i="1" s="1"/>
  <c r="H293" i="1"/>
  <c r="I201" i="1"/>
  <c r="I293" i="1"/>
  <c r="I294" i="1" s="1"/>
  <c r="I314" i="1" s="1"/>
  <c r="C293" i="1"/>
  <c r="C294" i="1" s="1"/>
  <c r="H295" i="1" s="1"/>
  <c r="B387" i="1" l="1"/>
  <c r="H498" i="1"/>
  <c r="I497" i="1"/>
  <c r="I202" i="1"/>
  <c r="I222" i="1" s="1"/>
  <c r="H202" i="1"/>
  <c r="C202" i="1"/>
  <c r="H203" i="1" s="1"/>
  <c r="B202" i="1"/>
  <c r="B222" i="1" s="1"/>
  <c r="B314" i="1"/>
  <c r="H222" i="1"/>
  <c r="H294" i="1"/>
  <c r="C295" i="1" s="1"/>
  <c r="H386" i="1"/>
  <c r="C387" i="1" s="1"/>
  <c r="C405" i="1"/>
  <c r="H406" i="1" s="1"/>
  <c r="B478" i="1"/>
  <c r="B386" i="1"/>
  <c r="I405" i="1"/>
  <c r="B497" i="1"/>
  <c r="I296" i="1"/>
  <c r="I316" i="1" s="1"/>
  <c r="H296" i="1"/>
  <c r="C297" i="1" s="1"/>
  <c r="H314" i="1"/>
  <c r="C385" i="1"/>
  <c r="I387" i="1" l="1"/>
  <c r="H204" i="1"/>
  <c r="C205" i="1" s="1"/>
  <c r="I204" i="1"/>
  <c r="I224" i="1" s="1"/>
  <c r="I223" i="1"/>
  <c r="I205" i="1" s="1"/>
  <c r="H223" i="1"/>
  <c r="C224" i="1" s="1"/>
  <c r="C315" i="1"/>
  <c r="B315" i="1"/>
  <c r="B297" i="1" s="1"/>
  <c r="B479" i="1"/>
  <c r="C203" i="1"/>
  <c r="I479" i="1"/>
  <c r="B406" i="1"/>
  <c r="C386" i="1"/>
  <c r="H387" i="1" s="1"/>
  <c r="B498" i="1"/>
  <c r="I407" i="1"/>
  <c r="I389" i="1" s="1"/>
  <c r="H407" i="1"/>
  <c r="H315" i="1"/>
  <c r="I315" i="1"/>
  <c r="C223" i="1"/>
  <c r="B223" i="1"/>
  <c r="B205" i="1" s="1"/>
  <c r="I499" i="1"/>
  <c r="I481" i="1" s="1"/>
  <c r="H499" i="1"/>
  <c r="B296" i="1"/>
  <c r="C296" i="1"/>
  <c r="H297" i="1" s="1"/>
  <c r="B388" i="1"/>
  <c r="B408" i="1" s="1"/>
  <c r="C388" i="1"/>
  <c r="H389" i="1" s="1"/>
  <c r="C204" i="1" l="1"/>
  <c r="H205" i="1" s="1"/>
  <c r="B204" i="1"/>
  <c r="B316" i="1"/>
  <c r="B298" i="1"/>
  <c r="B318" i="1" s="1"/>
  <c r="C298" i="1"/>
  <c r="B480" i="1"/>
  <c r="B500" i="1" s="1"/>
  <c r="B501" i="1" s="1"/>
  <c r="B483" i="1" s="1"/>
  <c r="C480" i="1"/>
  <c r="C408" i="1"/>
  <c r="C409" i="1" s="1"/>
  <c r="H410" i="1" s="1"/>
  <c r="H316" i="1"/>
  <c r="B499" i="1"/>
  <c r="C499" i="1"/>
  <c r="C500" i="1"/>
  <c r="C501" i="1" s="1"/>
  <c r="H502" i="1" s="1"/>
  <c r="H388" i="1"/>
  <c r="C389" i="1" s="1"/>
  <c r="I388" i="1"/>
  <c r="I408" i="1" s="1"/>
  <c r="I390" i="1"/>
  <c r="I410" i="1" s="1"/>
  <c r="H390" i="1"/>
  <c r="C391" i="1" s="1"/>
  <c r="C206" i="1"/>
  <c r="H207" i="1" s="1"/>
  <c r="B206" i="1"/>
  <c r="B226" i="1" s="1"/>
  <c r="C407" i="1"/>
  <c r="B407" i="1"/>
  <c r="B389" i="1" s="1"/>
  <c r="H224" i="1"/>
  <c r="I297" i="1"/>
  <c r="H298" i="1" s="1"/>
  <c r="I480" i="1"/>
  <c r="I500" i="1" s="1"/>
  <c r="H480" i="1"/>
  <c r="C316" i="1"/>
  <c r="C317" i="1" s="1"/>
  <c r="H318" i="1" s="1"/>
  <c r="C299" i="1" l="1"/>
  <c r="I298" i="1"/>
  <c r="I318" i="1" s="1"/>
  <c r="I319" i="1" s="1"/>
  <c r="I301" i="1" s="1"/>
  <c r="B409" i="1"/>
  <c r="I317" i="1"/>
  <c r="H317" i="1"/>
  <c r="C318" i="1" s="1"/>
  <c r="B319" i="1" s="1"/>
  <c r="B301" i="1" s="1"/>
  <c r="I411" i="1"/>
  <c r="I393" i="1" s="1"/>
  <c r="H411" i="1"/>
  <c r="C412" i="1" s="1"/>
  <c r="H481" i="1"/>
  <c r="I225" i="1"/>
  <c r="I207" i="1" s="1"/>
  <c r="H225" i="1"/>
  <c r="C226" i="1" s="1"/>
  <c r="C227" i="1" s="1"/>
  <c r="H228" i="1" s="1"/>
  <c r="H299" i="1"/>
  <c r="H319" i="1"/>
  <c r="C320" i="1" s="1"/>
  <c r="C390" i="1"/>
  <c r="H391" i="1" s="1"/>
  <c r="B390" i="1"/>
  <c r="B410" i="1" s="1"/>
  <c r="C481" i="1"/>
  <c r="H408" i="1"/>
  <c r="H500" i="1"/>
  <c r="B317" i="1"/>
  <c r="B481" i="1"/>
  <c r="B224" i="1"/>
  <c r="H208" i="1"/>
  <c r="C209" i="1" s="1"/>
  <c r="I208" i="1"/>
  <c r="I228" i="1" s="1"/>
  <c r="I229" i="1" s="1"/>
  <c r="I211" i="1" s="1"/>
  <c r="I206" i="1"/>
  <c r="I226" i="1" s="1"/>
  <c r="H206" i="1"/>
  <c r="C207" i="1" l="1"/>
  <c r="H501" i="1"/>
  <c r="C502" i="1" s="1"/>
  <c r="I501" i="1"/>
  <c r="H300" i="1"/>
  <c r="C301" i="1" s="1"/>
  <c r="C302" i="1" s="1"/>
  <c r="H303" i="1" s="1"/>
  <c r="I300" i="1"/>
  <c r="I320" i="1" s="1"/>
  <c r="I321" i="1" s="1"/>
  <c r="I303" i="1" s="1"/>
  <c r="B299" i="1"/>
  <c r="B300" i="1" s="1"/>
  <c r="B320" i="1" s="1"/>
  <c r="B321" i="1" s="1"/>
  <c r="B303" i="1" s="1"/>
  <c r="C319" i="1"/>
  <c r="H320" i="1" s="1"/>
  <c r="I299" i="1"/>
  <c r="I409" i="1"/>
  <c r="I391" i="1" s="1"/>
  <c r="H409" i="1"/>
  <c r="C410" i="1" s="1"/>
  <c r="B391" i="1"/>
  <c r="H229" i="1"/>
  <c r="C230" i="1" s="1"/>
  <c r="B225" i="1"/>
  <c r="B207" i="1" s="1"/>
  <c r="C225" i="1"/>
  <c r="H482" i="1"/>
  <c r="I482" i="1"/>
  <c r="I502" i="1" s="1"/>
  <c r="C482" i="1"/>
  <c r="H483" i="1" s="1"/>
  <c r="B482" i="1"/>
  <c r="B502" i="1" s="1"/>
  <c r="H392" i="1"/>
  <c r="I392" i="1"/>
  <c r="I412" i="1" s="1"/>
  <c r="B227" i="1"/>
  <c r="B209" i="1" s="1"/>
  <c r="B210" i="1" s="1"/>
  <c r="B230" i="1" s="1"/>
  <c r="B231" i="1" s="1"/>
  <c r="H304" i="1" l="1"/>
  <c r="I304" i="1"/>
  <c r="C411" i="1"/>
  <c r="H412" i="1" s="1"/>
  <c r="C210" i="1"/>
  <c r="H211" i="1" s="1"/>
  <c r="C231" i="1"/>
  <c r="I413" i="1"/>
  <c r="I395" i="1" s="1"/>
  <c r="B392" i="1"/>
  <c r="B412" i="1" s="1"/>
  <c r="C392" i="1"/>
  <c r="H393" i="1" s="1"/>
  <c r="C393" i="1"/>
  <c r="C394" i="1" s="1"/>
  <c r="H395" i="1" s="1"/>
  <c r="B503" i="1"/>
  <c r="B485" i="1" s="1"/>
  <c r="I483" i="1"/>
  <c r="H484" i="1"/>
  <c r="C485" i="1" s="1"/>
  <c r="C486" i="1" s="1"/>
  <c r="H487" i="1" s="1"/>
  <c r="I484" i="1"/>
  <c r="I504" i="1" s="1"/>
  <c r="C503" i="1"/>
  <c r="H504" i="1" s="1"/>
  <c r="H505" i="1" s="1"/>
  <c r="C506" i="1" s="1"/>
  <c r="I503" i="1"/>
  <c r="I485" i="1" s="1"/>
  <c r="H503" i="1"/>
  <c r="C483" i="1"/>
  <c r="C208" i="1"/>
  <c r="H209" i="1" s="1"/>
  <c r="B411" i="1"/>
  <c r="B393" i="1" s="1"/>
  <c r="C321" i="1"/>
  <c r="H226" i="1"/>
  <c r="C300" i="1"/>
  <c r="H321" i="1"/>
  <c r="C322" i="1" s="1"/>
  <c r="C323" i="1" s="1"/>
  <c r="B208" i="1"/>
  <c r="B228" i="1" s="1"/>
  <c r="B302" i="1"/>
  <c r="B322" i="1" s="1"/>
  <c r="H394" i="1" l="1"/>
  <c r="C395" i="1" s="1"/>
  <c r="I394" i="1"/>
  <c r="I414" i="1" s="1"/>
  <c r="B413" i="1"/>
  <c r="B395" i="1" s="1"/>
  <c r="C413" i="1"/>
  <c r="H414" i="1" s="1"/>
  <c r="C484" i="1"/>
  <c r="H485" i="1" s="1"/>
  <c r="H486" i="1" s="1"/>
  <c r="C487" i="1" s="1"/>
  <c r="B484" i="1"/>
  <c r="B504" i="1" s="1"/>
  <c r="I396" i="1"/>
  <c r="H396" i="1"/>
  <c r="H397" i="1" s="1"/>
  <c r="F523" i="1" s="1"/>
  <c r="C504" i="1"/>
  <c r="I486" i="1"/>
  <c r="I506" i="1" s="1"/>
  <c r="H301" i="1"/>
  <c r="I227" i="1"/>
  <c r="I209" i="1" s="1"/>
  <c r="I210" i="1" s="1"/>
  <c r="I230" i="1" s="1"/>
  <c r="H227" i="1"/>
  <c r="C228" i="1" s="1"/>
  <c r="I505" i="1"/>
  <c r="I487" i="1" s="1"/>
  <c r="I212" i="1"/>
  <c r="H212" i="1"/>
  <c r="H322" i="1"/>
  <c r="C324" i="1"/>
  <c r="E529" i="1" s="1"/>
  <c r="H488" i="1"/>
  <c r="H489" i="1" s="1"/>
  <c r="I488" i="1"/>
  <c r="I489" i="1" s="1"/>
  <c r="B394" i="1"/>
  <c r="B414" i="1" s="1"/>
  <c r="B415" i="1" s="1"/>
  <c r="B416" i="1" s="1"/>
  <c r="F518" i="1" s="1"/>
  <c r="H413" i="1"/>
  <c r="C414" i="1" s="1"/>
  <c r="B486" i="1"/>
  <c r="B506" i="1" s="1"/>
  <c r="B507" i="1" s="1"/>
  <c r="B323" i="1"/>
  <c r="B324" i="1" s="1"/>
  <c r="E518" i="1" s="1"/>
  <c r="I397" i="1" l="1"/>
  <c r="F524" i="1" s="1"/>
  <c r="I213" i="1"/>
  <c r="D524" i="1" s="1"/>
  <c r="B505" i="1"/>
  <c r="B487" i="1" s="1"/>
  <c r="H210" i="1"/>
  <c r="C211" i="1" s="1"/>
  <c r="C229" i="1"/>
  <c r="H230" i="1" s="1"/>
  <c r="C232" i="1"/>
  <c r="D529" i="1" s="1"/>
  <c r="G529" i="1" s="1"/>
  <c r="I415" i="1"/>
  <c r="I416" i="1" s="1"/>
  <c r="F526" i="1" s="1"/>
  <c r="H415" i="1"/>
  <c r="H416" i="1" s="1"/>
  <c r="F527" i="1" s="1"/>
  <c r="C505" i="1"/>
  <c r="H506" i="1" s="1"/>
  <c r="B396" i="1"/>
  <c r="B397" i="1" s="1"/>
  <c r="F520" i="1" s="1"/>
  <c r="C396" i="1"/>
  <c r="C397" i="1" s="1"/>
  <c r="F521" i="1" s="1"/>
  <c r="C415" i="1"/>
  <c r="C416" i="1" s="1"/>
  <c r="F529" i="1" s="1"/>
  <c r="C507" i="1"/>
  <c r="C508" i="1" s="1"/>
  <c r="H302" i="1"/>
  <c r="C303" i="1" s="1"/>
  <c r="I302" i="1"/>
  <c r="B229" i="1"/>
  <c r="I507" i="1" l="1"/>
  <c r="I508" i="1" s="1"/>
  <c r="H507" i="1"/>
  <c r="H508" i="1" s="1"/>
  <c r="E537" i="1" s="1"/>
  <c r="B211" i="1"/>
  <c r="B232" i="1"/>
  <c r="D518" i="1" s="1"/>
  <c r="I322" i="1"/>
  <c r="I305" i="1"/>
  <c r="E524" i="1" s="1"/>
  <c r="G524" i="1" s="1"/>
  <c r="C304" i="1"/>
  <c r="C305" i="1" s="1"/>
  <c r="E521" i="1" s="1"/>
  <c r="B304" i="1"/>
  <c r="B305" i="1" s="1"/>
  <c r="E520" i="1" s="1"/>
  <c r="H231" i="1"/>
  <c r="H232" i="1" s="1"/>
  <c r="D527" i="1" s="1"/>
  <c r="I231" i="1"/>
  <c r="I232" i="1" s="1"/>
  <c r="D526" i="1" s="1"/>
  <c r="B508" i="1"/>
  <c r="B488" i="1"/>
  <c r="B489" i="1" s="1"/>
  <c r="C488" i="1"/>
  <c r="C489" i="1" s="1"/>
  <c r="E535" i="1" s="1"/>
  <c r="H213" i="1"/>
  <c r="D523" i="1" s="1"/>
  <c r="G523" i="1" s="1"/>
  <c r="H305" i="1"/>
  <c r="E523" i="1" s="1"/>
  <c r="I323" i="1" l="1"/>
  <c r="I324" i="1" s="1"/>
  <c r="E526" i="1" s="1"/>
  <c r="H525" i="1" s="1"/>
  <c r="H323" i="1"/>
  <c r="H324" i="1" s="1"/>
  <c r="E527" i="1" s="1"/>
  <c r="G518" i="1"/>
  <c r="C212" i="1"/>
  <c r="C213" i="1" s="1"/>
  <c r="D521" i="1" s="1"/>
  <c r="B212" i="1"/>
  <c r="B213" i="1" s="1"/>
  <c r="D520" i="1" s="1"/>
  <c r="G520" i="1" s="1"/>
  <c r="G527" i="1"/>
  <c r="D537" i="1" s="1"/>
  <c r="F537" i="1" s="1"/>
  <c r="F575" i="1" s="1"/>
  <c r="H528" i="1"/>
  <c r="C537" i="1" s="1"/>
  <c r="E536" i="1"/>
  <c r="G526" i="1"/>
  <c r="H519" i="1" l="1"/>
  <c r="C536" i="1" s="1"/>
  <c r="F573" i="1"/>
  <c r="H574" i="1" s="1"/>
  <c r="F576" i="1"/>
  <c r="F582" i="1" s="1"/>
  <c r="H582" i="1" s="1"/>
  <c r="D536" i="1"/>
  <c r="F536" i="1" s="1"/>
  <c r="F566" i="1" s="1"/>
  <c r="F579" i="1" s="1"/>
  <c r="H579" i="1" s="1"/>
  <c r="G521" i="1"/>
  <c r="D535" i="1" s="1"/>
  <c r="F535" i="1" s="1"/>
  <c r="F558" i="1" s="1"/>
  <c r="H522" i="1"/>
  <c r="C535" i="1" s="1"/>
  <c r="F559" i="1" l="1"/>
  <c r="F589" i="1" s="1"/>
  <c r="H589" i="1" s="1"/>
  <c r="F556" i="1"/>
  <c r="H557" i="1" s="1"/>
  <c r="F586" i="1"/>
  <c r="H586" i="1" s="1"/>
  <c r="F567" i="1"/>
  <c r="F584" i="1" s="1"/>
  <c r="H584" i="1" s="1"/>
  <c r="F564" i="1"/>
  <c r="H565" i="1" s="1"/>
</calcChain>
</file>

<file path=xl/sharedStrings.xml><?xml version="1.0" encoding="utf-8"?>
<sst xmlns="http://schemas.openxmlformats.org/spreadsheetml/2006/main" count="372" uniqueCount="156">
  <si>
    <t>INPUTS</t>
  </si>
  <si>
    <t>Clear Span</t>
  </si>
  <si>
    <t>Clear Height</t>
  </si>
  <si>
    <t>Top Slab Thickness</t>
  </si>
  <si>
    <t>Bottom Slab Thickenss</t>
  </si>
  <si>
    <t>Walls Thickness</t>
  </si>
  <si>
    <t>Z Dimension (for Design)</t>
  </si>
  <si>
    <t>m</t>
  </si>
  <si>
    <t>Box Culvert</t>
  </si>
  <si>
    <t>Concrete Mix</t>
  </si>
  <si>
    <t>Unit Weight of Concrete Mix</t>
  </si>
  <si>
    <t>Grade of Steel Used</t>
  </si>
  <si>
    <t>Density of Soil Used in Design</t>
  </si>
  <si>
    <t>Coefficient of Active earth Pressure (Ka)</t>
  </si>
  <si>
    <t>Effective Earth Cushion</t>
  </si>
  <si>
    <t>Effective Span</t>
  </si>
  <si>
    <t>=</t>
  </si>
  <si>
    <t>Effective Height</t>
  </si>
  <si>
    <t>Total Span</t>
  </si>
  <si>
    <t>Total Height</t>
  </si>
  <si>
    <t>Live Load Calculation</t>
  </si>
  <si>
    <t>Transverse Direction</t>
  </si>
  <si>
    <t>Longitudinal Direction</t>
  </si>
  <si>
    <t>Load on bottom Slab</t>
  </si>
  <si>
    <t>Load on top Slab</t>
  </si>
  <si>
    <t>-</t>
  </si>
  <si>
    <t>Soil Load on Side Projections</t>
  </si>
  <si>
    <t>BASE PRESSURE</t>
  </si>
  <si>
    <t>Side Projection</t>
  </si>
  <si>
    <t xml:space="preserve">Earth Pressure </t>
  </si>
  <si>
    <t>1.20 m Equivalent Dead Load Surcharge</t>
  </si>
  <si>
    <t>Min S.B.C Required</t>
  </si>
  <si>
    <t>Weight of Water inside Box</t>
  </si>
  <si>
    <t>Unit Weight of Water</t>
  </si>
  <si>
    <t xml:space="preserve">Case I </t>
  </si>
  <si>
    <t>Box is Empty</t>
  </si>
  <si>
    <t>Fix End Moments</t>
  </si>
  <si>
    <t>Mab</t>
  </si>
  <si>
    <t>Mba</t>
  </si>
  <si>
    <t>Mbc</t>
  </si>
  <si>
    <t>Mcb</t>
  </si>
  <si>
    <t>Mcd</t>
  </si>
  <si>
    <t>Mdc</t>
  </si>
  <si>
    <t>Mda</t>
  </si>
  <si>
    <t>Mad</t>
  </si>
  <si>
    <t>Moment Distribution</t>
  </si>
  <si>
    <t>Maximum Span Moments</t>
  </si>
  <si>
    <t>Maximum Span Moment</t>
  </si>
  <si>
    <t xml:space="preserve">Case II </t>
  </si>
  <si>
    <t>Box With Full of Water</t>
  </si>
  <si>
    <t>Case III</t>
  </si>
  <si>
    <t>Box is Full of water With No Surcharge</t>
  </si>
  <si>
    <t>Summery of Moments</t>
  </si>
  <si>
    <t>Box is Empty (with Soil Surcharge)</t>
  </si>
  <si>
    <t>Box With Full of Water  (with soil Surcharge)</t>
  </si>
  <si>
    <t>Wall</t>
  </si>
  <si>
    <t>Top Slab</t>
  </si>
  <si>
    <t>Bottom Slab</t>
  </si>
  <si>
    <t>kNm</t>
  </si>
  <si>
    <t>Permissible Stress in concrete</t>
  </si>
  <si>
    <t>Permissible Stress in steel</t>
  </si>
  <si>
    <t>modulur Ratio</t>
  </si>
  <si>
    <t>Design Constants</t>
  </si>
  <si>
    <t>k</t>
  </si>
  <si>
    <t>j</t>
  </si>
  <si>
    <t>R</t>
  </si>
  <si>
    <t>Required Effective Depth</t>
  </si>
  <si>
    <t>Dia of Bars as Main Steel</t>
  </si>
  <si>
    <t>Cover of Main Reinforcement</t>
  </si>
  <si>
    <t>Provided Effective Depth</t>
  </si>
  <si>
    <t>mm</t>
  </si>
  <si>
    <t>mm2</t>
  </si>
  <si>
    <t>Ast Required At Supports</t>
  </si>
  <si>
    <t>Ast Required At Mid</t>
  </si>
  <si>
    <t>Walls</t>
  </si>
  <si>
    <t>Bar Designation</t>
  </si>
  <si>
    <t>+</t>
  </si>
  <si>
    <t>SPACING</t>
  </si>
  <si>
    <t>DIA</t>
  </si>
  <si>
    <t>MEMBER</t>
  </si>
  <si>
    <t>AST REQ</t>
  </si>
  <si>
    <t>AST PROV</t>
  </si>
  <si>
    <t>AD MID</t>
  </si>
  <si>
    <t>Dia of Bars at Mid Span</t>
  </si>
  <si>
    <t>Dia of Bars at supports</t>
  </si>
  <si>
    <t>Provided Effective Depth at Mid</t>
  </si>
  <si>
    <t>JOINT A, D</t>
  </si>
  <si>
    <t>BC MID</t>
  </si>
  <si>
    <t>JOINT B,C</t>
  </si>
  <si>
    <t>MID AB,CD</t>
  </si>
  <si>
    <t>Remarks</t>
  </si>
  <si>
    <t>Check For Shear</t>
  </si>
  <si>
    <t>SHEAR FORCE</t>
  </si>
  <si>
    <t>Shear Stress</t>
  </si>
  <si>
    <t>% Ast</t>
  </si>
  <si>
    <t>Shear for this %</t>
  </si>
  <si>
    <t>Remark</t>
  </si>
  <si>
    <t>Remaining Shear</t>
  </si>
  <si>
    <t>Req Asv</t>
  </si>
  <si>
    <t>Member</t>
  </si>
  <si>
    <t>Shear Strripus</t>
  </si>
  <si>
    <t>Required Asv</t>
  </si>
  <si>
    <t>Dia</t>
  </si>
  <si>
    <t>Spacing</t>
  </si>
  <si>
    <t>Provide</t>
  </si>
  <si>
    <t>Asv Provided</t>
  </si>
  <si>
    <t>Case I (kNm)</t>
  </si>
  <si>
    <t>Case II (kNm)</t>
  </si>
  <si>
    <t>Case III (kNm)</t>
  </si>
  <si>
    <t>Moments (kNm)</t>
  </si>
  <si>
    <t>Thickness of Wearing Coat</t>
  </si>
  <si>
    <t>Unit Weight for wearing coat</t>
  </si>
  <si>
    <t>Load Per Unit Area</t>
  </si>
  <si>
    <t>Loads</t>
  </si>
  <si>
    <t>Free Span Moment</t>
  </si>
  <si>
    <t>Wall AB</t>
  </si>
  <si>
    <t>Top Slab BC</t>
  </si>
  <si>
    <t>Wall CD</t>
  </si>
  <si>
    <t>Bottom Slab DA</t>
  </si>
  <si>
    <t>Members</t>
  </si>
  <si>
    <t>Moment</t>
  </si>
  <si>
    <t>Net Moments  (kNm)</t>
  </si>
  <si>
    <t>Carriageway Width</t>
  </si>
  <si>
    <t>No of Lanes for Design</t>
  </si>
  <si>
    <t xml:space="preserve">One lane of Class 70 R </t>
  </si>
  <si>
    <t>Impact Factor = 25 % of this load</t>
  </si>
  <si>
    <t>Wheel Load</t>
  </si>
  <si>
    <t>kN</t>
  </si>
  <si>
    <t>Dispersal  in Transverse Direction</t>
  </si>
  <si>
    <t>Load Over Span</t>
  </si>
  <si>
    <t>No Dispersal in Longitudinal Direction</t>
  </si>
  <si>
    <t>Breaking Moment (kNm)</t>
  </si>
  <si>
    <t>Net Moment (kNm)</t>
  </si>
  <si>
    <t>Mid Span Moments (kNm)</t>
  </si>
  <si>
    <t>Support Moments (kNm)</t>
  </si>
  <si>
    <t>1/64/0</t>
  </si>
  <si>
    <t>Distance of strripus from nearer support</t>
  </si>
  <si>
    <t xml:space="preserve">Top Slab </t>
  </si>
  <si>
    <t>Prepared By 
Harjot Singh</t>
  </si>
  <si>
    <t>Reviewed by</t>
  </si>
  <si>
    <t>Reviewed On</t>
  </si>
  <si>
    <t>Rev R0</t>
  </si>
  <si>
    <t>B. N. Sinha</t>
  </si>
  <si>
    <t>HNR Associates Engineering Resource
Resource Title:: 
Structure Design of Single Cell Box culvert for IRC Loads (WSM)</t>
  </si>
  <si>
    <t>Document - SSBIS_Gen02</t>
  </si>
  <si>
    <r>
      <t>kN/m</t>
    </r>
    <r>
      <rPr>
        <vertAlign val="superscript"/>
        <sz val="9"/>
        <color indexed="8"/>
        <rFont val="Calibri"/>
        <family val="2"/>
      </rPr>
      <t>3</t>
    </r>
  </si>
  <si>
    <r>
      <t>kN/m</t>
    </r>
    <r>
      <rPr>
        <vertAlign val="superscript"/>
        <sz val="9"/>
        <color indexed="8"/>
        <rFont val="Calibri"/>
        <family val="2"/>
      </rPr>
      <t>2</t>
    </r>
  </si>
  <si>
    <r>
      <t>kN/m</t>
    </r>
    <r>
      <rPr>
        <b/>
        <vertAlign val="superscript"/>
        <sz val="9"/>
        <color indexed="8"/>
        <rFont val="Calibri"/>
        <family val="2"/>
      </rPr>
      <t>2</t>
    </r>
  </si>
  <si>
    <t>How to Use:</t>
  </si>
  <si>
    <t>1. Navigate to the input worksheet and enter values in the Orange cells.</t>
  </si>
  <si>
    <t>4. Do not modify locked/protected cells to ensure formulas remain intact.</t>
  </si>
  <si>
    <t>5. Cells - Prepared by, Reviewed by, Reviewed dates, Revision and Document no are editable</t>
  </si>
  <si>
    <t>Disclaimer:</t>
  </si>
  <si>
    <t>This tool is provided by HNR Associates for educational and reference purposes only. Users must validate outputs against the latest standards and project requirements. HNR Associates is not responsible for any misuse or misinterpretation of the results.</t>
  </si>
  <si>
    <t>3. Cross-check results with relevant standards before application.</t>
  </si>
  <si>
    <t>2. Review the calculated outputs in other Cell. Checks Provided in green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</si>
</sst>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14" x14ac:knownFonts="1">
    <font>
      <sz val="11"/>
      <color theme="1"/>
      <name val="Calibri"/>
      <family val="2"/>
    </font>
    <font>
      <sz val="11"/>
      <color indexed="8"/>
      <name val="Times New Roman"/>
      <family val="1"/>
    </font>
    <font>
      <vertAlign val="superscript"/>
      <sz val="9"/>
      <color indexed="8"/>
      <name val="Calibri"/>
      <family val="2"/>
    </font>
    <font>
      <b/>
      <vertAlign val="superscript"/>
      <sz val="9"/>
      <color indexed="8"/>
      <name val="Calibri"/>
      <family val="2"/>
    </font>
    <font>
      <sz val="9"/>
      <color theme="1"/>
      <name val="Calibri"/>
      <family val="2"/>
      <scheme val="minor"/>
    </font>
    <font>
      <b/>
      <sz val="9"/>
      <color theme="1"/>
      <name val="Calibri"/>
      <family val="2"/>
      <scheme val="minor"/>
    </font>
    <font>
      <sz val="9"/>
      <color rgb="FFFF0000"/>
      <name val="Calibri"/>
      <family val="2"/>
      <scheme val="minor"/>
    </font>
    <font>
      <sz val="9"/>
      <color indexed="8"/>
      <name val="Calibri"/>
      <family val="2"/>
      <scheme val="minor"/>
    </font>
    <font>
      <b/>
      <sz val="9"/>
      <color indexed="8"/>
      <name val="Calibri"/>
      <family val="2"/>
      <scheme val="minor"/>
    </font>
    <font>
      <sz val="9"/>
      <color indexed="36"/>
      <name val="Calibri"/>
      <family val="2"/>
      <scheme val="minor"/>
    </font>
    <font>
      <sz val="9"/>
      <color indexed="12"/>
      <name val="Calibri"/>
      <family val="2"/>
      <scheme val="minor"/>
    </font>
    <font>
      <sz val="9"/>
      <name val="Calibri"/>
      <family val="2"/>
      <scheme val="minor"/>
    </font>
    <font>
      <sz val="7"/>
      <color indexed="8"/>
      <name val="Calibri"/>
      <family val="2"/>
      <scheme val="minor"/>
    </font>
    <font>
      <sz val="9"/>
      <color indexed="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8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2" borderId="1" xfId="0" applyFont="1" applyFill="1" applyBorder="1" applyProtection="1">
      <protection locked="0"/>
    </xf>
    <xf numFmtId="0" fontId="5" fillId="3" borderId="0" xfId="0" applyFont="1" applyFill="1"/>
    <xf numFmtId="0" fontId="4" fillId="3" borderId="0" xfId="0" applyFont="1" applyFill="1"/>
    <xf numFmtId="0" fontId="6" fillId="3" borderId="0" xfId="0" applyFont="1" applyFill="1"/>
    <xf numFmtId="0" fontId="4" fillId="3" borderId="2" xfId="0" applyFont="1" applyFill="1" applyBorder="1" applyAlignment="1" applyProtection="1">
      <alignment horizontal="left"/>
      <protection locked="0"/>
    </xf>
    <xf numFmtId="0" fontId="4" fillId="3" borderId="0" xfId="0" applyFont="1" applyFill="1" applyAlignment="1" applyProtection="1">
      <alignment horizontal="left"/>
      <protection locked="0"/>
    </xf>
    <xf numFmtId="0" fontId="7" fillId="3" borderId="0" xfId="0" applyFont="1" applyFill="1" applyAlignment="1">
      <alignment vertical="center"/>
    </xf>
    <xf numFmtId="0" fontId="7" fillId="3" borderId="0" xfId="0" applyFont="1" applyFill="1" applyAlignment="1">
      <alignment horizontal="left" vertical="center"/>
    </xf>
    <xf numFmtId="0" fontId="7" fillId="3" borderId="0" xfId="0" applyFont="1" applyFill="1" applyAlignment="1">
      <alignment horizontal="center"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7" fillId="3" borderId="2" xfId="0" applyFont="1" applyFill="1" applyBorder="1" applyAlignment="1">
      <alignment vertical="center"/>
    </xf>
    <xf numFmtId="0" fontId="7" fillId="3" borderId="5" xfId="0" applyFont="1" applyFill="1" applyBorder="1" applyAlignment="1">
      <alignment vertical="center"/>
    </xf>
    <xf numFmtId="0" fontId="7" fillId="3" borderId="6"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7" fillId="3" borderId="0" xfId="0" applyFont="1" applyFill="1" applyAlignment="1">
      <alignment horizontal="right" vertical="center"/>
    </xf>
    <xf numFmtId="0" fontId="7" fillId="3" borderId="0" xfId="0" applyFont="1" applyFill="1" applyAlignment="1">
      <alignment horizontal="left"/>
    </xf>
    <xf numFmtId="2" fontId="7" fillId="3" borderId="0" xfId="0" applyNumberFormat="1" applyFont="1" applyFill="1" applyAlignment="1">
      <alignment horizontal="center" vertical="center"/>
    </xf>
    <xf numFmtId="165" fontId="7" fillId="3" borderId="0" xfId="0" applyNumberFormat="1" applyFont="1" applyFill="1" applyAlignment="1">
      <alignment horizontal="center" vertical="center"/>
    </xf>
    <xf numFmtId="0" fontId="8" fillId="3" borderId="0" xfId="0" applyFont="1" applyFill="1" applyAlignment="1">
      <alignment vertical="center"/>
    </xf>
    <xf numFmtId="2" fontId="8" fillId="3" borderId="0" xfId="0" applyNumberFormat="1" applyFont="1" applyFill="1" applyAlignment="1">
      <alignment horizontal="center" vertical="center"/>
    </xf>
    <xf numFmtId="2" fontId="7" fillId="3" borderId="0" xfId="0" applyNumberFormat="1" applyFont="1" applyFill="1" applyAlignment="1">
      <alignment horizontal="left" vertical="center"/>
    </xf>
    <xf numFmtId="2" fontId="7" fillId="3" borderId="0" xfId="0" applyNumberFormat="1" applyFont="1" applyFill="1" applyAlignment="1">
      <alignment horizontal="right" vertical="center"/>
    </xf>
    <xf numFmtId="0" fontId="9" fillId="3" borderId="0" xfId="0" applyFont="1" applyFill="1" applyAlignment="1">
      <alignment vertical="center"/>
    </xf>
    <xf numFmtId="164" fontId="10" fillId="3" borderId="9" xfId="0" applyNumberFormat="1" applyFont="1" applyFill="1" applyBorder="1" applyAlignment="1">
      <alignment horizontal="center" vertical="center"/>
    </xf>
    <xf numFmtId="164" fontId="10" fillId="3" borderId="10" xfId="0" applyNumberFormat="1" applyFont="1" applyFill="1" applyBorder="1" applyAlignment="1">
      <alignment horizontal="center" vertical="center"/>
    </xf>
    <xf numFmtId="164" fontId="10" fillId="3" borderId="11" xfId="0" applyNumberFormat="1" applyFont="1" applyFill="1" applyBorder="1" applyAlignment="1">
      <alignment horizontal="center" vertical="center"/>
    </xf>
    <xf numFmtId="164" fontId="10" fillId="3" borderId="12" xfId="0" applyNumberFormat="1" applyFont="1" applyFill="1" applyBorder="1" applyAlignment="1">
      <alignment horizontal="center" vertical="center"/>
    </xf>
    <xf numFmtId="0" fontId="9" fillId="3" borderId="13" xfId="0" applyFont="1" applyFill="1" applyBorder="1" applyAlignment="1">
      <alignment vertical="center"/>
    </xf>
    <xf numFmtId="0" fontId="9" fillId="3" borderId="14" xfId="0" applyFont="1" applyFill="1" applyBorder="1" applyAlignment="1">
      <alignment vertical="center"/>
    </xf>
    <xf numFmtId="0" fontId="9" fillId="3" borderId="15" xfId="0" applyFont="1" applyFill="1" applyBorder="1" applyAlignment="1">
      <alignment vertical="center"/>
    </xf>
    <xf numFmtId="0" fontId="9" fillId="3" borderId="16" xfId="0" applyFont="1" applyFill="1" applyBorder="1" applyAlignment="1">
      <alignment vertical="center"/>
    </xf>
    <xf numFmtId="0" fontId="7" fillId="3" borderId="13" xfId="0" applyFont="1" applyFill="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0" fontId="7" fillId="3" borderId="16" xfId="0" applyFont="1" applyFill="1" applyBorder="1" applyAlignment="1">
      <alignment vertical="center"/>
    </xf>
    <xf numFmtId="0" fontId="7" fillId="3" borderId="17" xfId="0" applyFont="1" applyFill="1" applyBorder="1" applyAlignment="1">
      <alignment vertical="center"/>
    </xf>
    <xf numFmtId="0" fontId="7" fillId="3" borderId="18" xfId="0" applyFont="1" applyFill="1" applyBorder="1" applyAlignment="1">
      <alignment vertical="center"/>
    </xf>
    <xf numFmtId="165" fontId="8" fillId="3" borderId="19" xfId="0" applyNumberFormat="1" applyFont="1" applyFill="1" applyBorder="1" applyAlignment="1">
      <alignment vertical="center"/>
    </xf>
    <xf numFmtId="0" fontId="8" fillId="3" borderId="20" xfId="0" applyFont="1" applyFill="1" applyBorder="1" applyAlignment="1">
      <alignment vertical="center"/>
    </xf>
    <xf numFmtId="165" fontId="8" fillId="3" borderId="21" xfId="0" applyNumberFormat="1" applyFont="1" applyFill="1" applyBorder="1" applyAlignment="1">
      <alignment vertical="center"/>
    </xf>
    <xf numFmtId="165" fontId="8" fillId="3" borderId="22" xfId="0" applyNumberFormat="1" applyFont="1" applyFill="1" applyBorder="1" applyAlignment="1">
      <alignment vertical="center"/>
    </xf>
    <xf numFmtId="0" fontId="11" fillId="3" borderId="14" xfId="0" applyFont="1" applyFill="1" applyBorder="1" applyAlignment="1">
      <alignment vertical="center"/>
    </xf>
    <xf numFmtId="0" fontId="8" fillId="3" borderId="23" xfId="0" applyFont="1" applyFill="1" applyBorder="1" applyAlignment="1">
      <alignment vertical="center"/>
    </xf>
    <xf numFmtId="165" fontId="8" fillId="3" borderId="24" xfId="0" applyNumberFormat="1" applyFont="1" applyFill="1" applyBorder="1" applyAlignment="1">
      <alignment vertical="center"/>
    </xf>
    <xf numFmtId="0" fontId="8" fillId="3" borderId="21" xfId="0" applyFont="1" applyFill="1" applyBorder="1" applyAlignment="1">
      <alignment vertical="center"/>
    </xf>
    <xf numFmtId="0" fontId="8" fillId="3" borderId="22" xfId="0" applyFont="1" applyFill="1" applyBorder="1" applyAlignment="1">
      <alignment vertical="center"/>
    </xf>
    <xf numFmtId="165" fontId="8" fillId="3" borderId="0" xfId="0" applyNumberFormat="1" applyFont="1" applyFill="1" applyAlignment="1">
      <alignment vertical="center"/>
    </xf>
    <xf numFmtId="2" fontId="7" fillId="3" borderId="0" xfId="0" applyNumberFormat="1" applyFont="1" applyFill="1" applyAlignment="1">
      <alignment horizontal="left" vertical="top"/>
    </xf>
    <xf numFmtId="2" fontId="8" fillId="3" borderId="24" xfId="0" applyNumberFormat="1" applyFont="1" applyFill="1" applyBorder="1" applyAlignment="1">
      <alignment vertical="center"/>
    </xf>
    <xf numFmtId="2" fontId="7" fillId="3" borderId="0" xfId="0" applyNumberFormat="1" applyFont="1" applyFill="1" applyAlignment="1">
      <alignment horizontal="right" vertical="top"/>
    </xf>
    <xf numFmtId="0" fontId="10" fillId="3" borderId="11" xfId="0" applyFont="1" applyFill="1" applyBorder="1" applyAlignment="1">
      <alignment vertical="center"/>
    </xf>
    <xf numFmtId="2" fontId="8" fillId="3" borderId="19" xfId="0" applyNumberFormat="1" applyFont="1" applyFill="1" applyBorder="1" applyAlignment="1">
      <alignment vertical="center"/>
    </xf>
    <xf numFmtId="2" fontId="8" fillId="3" borderId="20" xfId="0" applyNumberFormat="1" applyFont="1" applyFill="1" applyBorder="1" applyAlignment="1">
      <alignment vertical="center"/>
    </xf>
    <xf numFmtId="2" fontId="8" fillId="3" borderId="21" xfId="0" applyNumberFormat="1" applyFont="1" applyFill="1" applyBorder="1" applyAlignment="1">
      <alignment vertical="center"/>
    </xf>
    <xf numFmtId="2" fontId="8" fillId="3" borderId="22" xfId="0" applyNumberFormat="1" applyFont="1" applyFill="1" applyBorder="1" applyAlignment="1">
      <alignment vertical="center"/>
    </xf>
    <xf numFmtId="2" fontId="8" fillId="3" borderId="23" xfId="0" applyNumberFormat="1" applyFont="1" applyFill="1" applyBorder="1" applyAlignment="1">
      <alignment vertical="center"/>
    </xf>
    <xf numFmtId="2" fontId="7" fillId="3" borderId="0" xfId="0" applyNumberFormat="1" applyFont="1" applyFill="1" applyAlignment="1">
      <alignment vertical="center"/>
    </xf>
    <xf numFmtId="165" fontId="9" fillId="3" borderId="0" xfId="0" applyNumberFormat="1" applyFont="1" applyFill="1" applyAlignment="1">
      <alignment vertical="center"/>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6" xfId="0" applyFont="1" applyFill="1" applyBorder="1" applyAlignment="1">
      <alignment horizontal="left" vertical="center" wrapText="1"/>
    </xf>
    <xf numFmtId="166" fontId="7" fillId="3" borderId="26" xfId="0" applyNumberFormat="1" applyFont="1" applyFill="1" applyBorder="1" applyAlignment="1">
      <alignment horizontal="center" vertical="center"/>
    </xf>
    <xf numFmtId="166" fontId="7" fillId="3" borderId="27" xfId="0" applyNumberFormat="1" applyFont="1" applyFill="1" applyBorder="1" applyAlignment="1">
      <alignment horizontal="center" vertical="center"/>
    </xf>
    <xf numFmtId="166" fontId="7" fillId="3" borderId="0" xfId="0" applyNumberFormat="1" applyFont="1" applyFill="1" applyAlignment="1">
      <alignment horizontal="center" vertical="center"/>
    </xf>
    <xf numFmtId="0" fontId="7" fillId="3" borderId="0" xfId="0" applyFont="1" applyFill="1" applyAlignment="1">
      <alignment horizontal="left" vertical="center" wrapText="1"/>
    </xf>
    <xf numFmtId="166" fontId="7" fillId="3" borderId="28" xfId="0" applyNumberFormat="1" applyFont="1" applyFill="1" applyBorder="1" applyAlignment="1">
      <alignment horizontal="center" vertical="center"/>
    </xf>
    <xf numFmtId="0" fontId="7" fillId="3" borderId="29" xfId="0" applyFont="1" applyFill="1" applyBorder="1" applyAlignment="1">
      <alignment horizontal="left" vertical="center" wrapText="1"/>
    </xf>
    <xf numFmtId="166" fontId="7" fillId="3" borderId="29" xfId="0" applyNumberFormat="1" applyFont="1" applyFill="1" applyBorder="1" applyAlignment="1">
      <alignment horizontal="center" vertical="center"/>
    </xf>
    <xf numFmtId="166" fontId="7" fillId="3" borderId="30" xfId="0" applyNumberFormat="1" applyFont="1" applyFill="1" applyBorder="1" applyAlignment="1">
      <alignment horizontal="center" vertical="center"/>
    </xf>
    <xf numFmtId="0" fontId="7" fillId="3" borderId="31" xfId="0" applyFont="1" applyFill="1" applyBorder="1" applyAlignment="1">
      <alignment vertical="center"/>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29" xfId="0" applyFont="1" applyFill="1" applyBorder="1" applyAlignment="1">
      <alignment horizontal="center" vertical="center"/>
    </xf>
    <xf numFmtId="2" fontId="7" fillId="3" borderId="32" xfId="0" applyNumberFormat="1" applyFont="1" applyFill="1" applyBorder="1" applyAlignment="1">
      <alignment horizontal="center" vertical="center" wrapText="1"/>
    </xf>
    <xf numFmtId="2" fontId="7" fillId="3" borderId="34" xfId="0" applyNumberFormat="1" applyFont="1" applyFill="1" applyBorder="1" applyAlignment="1">
      <alignment horizontal="center" vertical="center" wrapText="1"/>
    </xf>
    <xf numFmtId="0" fontId="7" fillId="3" borderId="31" xfId="0" applyFont="1" applyFill="1" applyBorder="1" applyAlignment="1">
      <alignment horizontal="center" vertical="center"/>
    </xf>
    <xf numFmtId="2" fontId="7" fillId="3" borderId="32" xfId="0" applyNumberFormat="1" applyFont="1" applyFill="1" applyBorder="1" applyAlignment="1">
      <alignment horizontal="center" vertical="center"/>
    </xf>
    <xf numFmtId="0" fontId="7" fillId="3" borderId="32" xfId="0" applyFont="1" applyFill="1" applyBorder="1" applyAlignment="1">
      <alignment horizontal="center" vertical="center"/>
    </xf>
    <xf numFmtId="0" fontId="7" fillId="3" borderId="31" xfId="0" applyFont="1" applyFill="1" applyBorder="1" applyAlignment="1">
      <alignment horizontal="center" vertical="center" wrapText="1"/>
    </xf>
    <xf numFmtId="2" fontId="7" fillId="3" borderId="29" xfId="0" applyNumberFormat="1" applyFont="1" applyFill="1" applyBorder="1" applyAlignment="1">
      <alignment horizontal="center" vertical="center" wrapText="1"/>
    </xf>
    <xf numFmtId="2" fontId="7" fillId="3" borderId="30" xfId="0" applyNumberFormat="1" applyFont="1" applyFill="1" applyBorder="1" applyAlignment="1">
      <alignment horizontal="center" vertical="center" wrapText="1"/>
    </xf>
    <xf numFmtId="0" fontId="7" fillId="3" borderId="26" xfId="0" applyFont="1" applyFill="1" applyBorder="1" applyAlignment="1">
      <alignment vertical="center" wrapText="1"/>
    </xf>
    <xf numFmtId="0" fontId="7" fillId="3" borderId="26" xfId="0" applyFont="1" applyFill="1" applyBorder="1" applyAlignment="1">
      <alignment vertical="center"/>
    </xf>
    <xf numFmtId="166" fontId="7" fillId="3" borderId="0" xfId="0" applyNumberFormat="1" applyFont="1" applyFill="1" applyAlignment="1">
      <alignment vertical="center"/>
    </xf>
    <xf numFmtId="0" fontId="11" fillId="3" borderId="0" xfId="0" applyFont="1" applyFill="1" applyAlignment="1">
      <alignment vertical="center"/>
    </xf>
    <xf numFmtId="0" fontId="4" fillId="3" borderId="0" xfId="0" applyFont="1" applyFill="1" applyAlignment="1">
      <alignment vertical="center"/>
    </xf>
    <xf numFmtId="1" fontId="7" fillId="3" borderId="0" xfId="0" applyNumberFormat="1" applyFont="1" applyFill="1" applyAlignment="1">
      <alignment horizontal="right" vertical="center"/>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7" fillId="3" borderId="26" xfId="0" applyFont="1" applyFill="1" applyBorder="1" applyAlignment="1">
      <alignment horizontal="center" vertical="center"/>
    </xf>
    <xf numFmtId="2" fontId="13" fillId="3" borderId="26" xfId="0" applyNumberFormat="1" applyFont="1" applyFill="1" applyBorder="1" applyAlignment="1">
      <alignment horizontal="center" vertical="center" wrapText="1"/>
    </xf>
    <xf numFmtId="0" fontId="7" fillId="3" borderId="35" xfId="0" applyFont="1" applyFill="1" applyBorder="1" applyAlignment="1">
      <alignment horizontal="center" vertical="center" wrapText="1"/>
    </xf>
    <xf numFmtId="1" fontId="7" fillId="3" borderId="0" xfId="0" applyNumberFormat="1" applyFont="1" applyFill="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11" fillId="3" borderId="29" xfId="0" applyFont="1" applyFill="1" applyBorder="1" applyAlignment="1">
      <alignment horizontal="center" vertical="center" wrapText="1"/>
    </xf>
    <xf numFmtId="1" fontId="7" fillId="3" borderId="29" xfId="0" applyNumberFormat="1" applyFont="1" applyFill="1" applyBorder="1" applyAlignment="1">
      <alignment horizontal="center" vertical="center" wrapText="1"/>
    </xf>
    <xf numFmtId="1" fontId="13" fillId="3" borderId="29" xfId="0" applyNumberFormat="1" applyFont="1" applyFill="1" applyBorder="1" applyAlignment="1">
      <alignment horizontal="center" vertical="center" wrapText="1"/>
    </xf>
    <xf numFmtId="1" fontId="7" fillId="3" borderId="26" xfId="0" applyNumberFormat="1" applyFont="1" applyFill="1" applyBorder="1" applyAlignment="1">
      <alignment horizontal="center" vertical="center" wrapText="1"/>
    </xf>
    <xf numFmtId="1" fontId="13" fillId="3" borderId="26" xfId="0" applyNumberFormat="1" applyFont="1" applyFill="1" applyBorder="1" applyAlignment="1">
      <alignment horizontal="center" vertical="center" wrapText="1"/>
    </xf>
    <xf numFmtId="0" fontId="7" fillId="3" borderId="29" xfId="0" applyFont="1" applyFill="1" applyBorder="1" applyAlignment="1">
      <alignment vertical="center"/>
    </xf>
    <xf numFmtId="1" fontId="7" fillId="3" borderId="32" xfId="0" applyNumberFormat="1" applyFont="1" applyFill="1" applyBorder="1" applyAlignment="1">
      <alignment horizontal="center" vertical="center" wrapText="1"/>
    </xf>
    <xf numFmtId="1" fontId="11" fillId="3" borderId="32" xfId="0" applyNumberFormat="1" applyFont="1" applyFill="1" applyBorder="1" applyAlignment="1">
      <alignment horizontal="center" vertical="center" wrapText="1"/>
    </xf>
    <xf numFmtId="0" fontId="11" fillId="3" borderId="26" xfId="0" applyFont="1" applyFill="1" applyBorder="1" applyAlignment="1">
      <alignment horizontal="center" vertical="center" wrapText="1"/>
    </xf>
    <xf numFmtId="1" fontId="7" fillId="3" borderId="0" xfId="0" applyNumberFormat="1" applyFont="1" applyFill="1" applyAlignment="1">
      <alignment horizontal="center" vertical="center"/>
    </xf>
    <xf numFmtId="0" fontId="7" fillId="3" borderId="35" xfId="0" applyFont="1" applyFill="1" applyBorder="1" applyAlignment="1">
      <alignment horizontal="center" vertical="center"/>
    </xf>
    <xf numFmtId="1" fontId="13" fillId="3" borderId="0" xfId="0" applyNumberFormat="1" applyFont="1" applyFill="1" applyAlignment="1">
      <alignment horizontal="center" vertical="center"/>
    </xf>
    <xf numFmtId="0" fontId="11" fillId="3" borderId="0" xfId="0" applyFont="1" applyFill="1" applyAlignment="1">
      <alignment horizontal="center" vertical="center"/>
    </xf>
    <xf numFmtId="0" fontId="13" fillId="3" borderId="0" xfId="0" applyFont="1" applyFill="1" applyAlignment="1">
      <alignment horizontal="center" vertical="center"/>
    </xf>
    <xf numFmtId="0" fontId="7" fillId="3" borderId="21"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37" xfId="0" applyFont="1" applyFill="1" applyBorder="1" applyAlignment="1">
      <alignment horizontal="center" vertical="center" wrapText="1"/>
    </xf>
    <xf numFmtId="2" fontId="7" fillId="3" borderId="38" xfId="0" applyNumberFormat="1" applyFont="1" applyFill="1" applyBorder="1" applyAlignment="1">
      <alignment horizontal="center" vertical="center" wrapText="1"/>
    </xf>
    <xf numFmtId="165" fontId="7" fillId="3" borderId="38" xfId="0" applyNumberFormat="1" applyFont="1" applyFill="1" applyBorder="1" applyAlignment="1">
      <alignment horizontal="center" vertical="center" wrapText="1"/>
    </xf>
    <xf numFmtId="0" fontId="7" fillId="3" borderId="38" xfId="0" applyFont="1" applyFill="1" applyBorder="1" applyAlignment="1">
      <alignment horizontal="center" vertical="center" wrapText="1"/>
    </xf>
    <xf numFmtId="1" fontId="7" fillId="3" borderId="38" xfId="0" applyNumberFormat="1" applyFont="1" applyFill="1" applyBorder="1" applyAlignment="1">
      <alignment horizontal="center" vertical="center" wrapText="1"/>
    </xf>
    <xf numFmtId="1" fontId="7" fillId="3" borderId="6" xfId="0" applyNumberFormat="1" applyFont="1" applyFill="1" applyBorder="1" applyAlignment="1">
      <alignment horizontal="center" vertical="center" wrapText="1"/>
    </xf>
    <xf numFmtId="2" fontId="7" fillId="3" borderId="36" xfId="0" applyNumberFormat="1" applyFont="1" applyFill="1" applyBorder="1" applyAlignment="1">
      <alignment horizontal="center" vertical="center" wrapText="1"/>
    </xf>
    <xf numFmtId="165" fontId="7" fillId="3" borderId="36" xfId="0" applyNumberFormat="1" applyFont="1" applyFill="1" applyBorder="1" applyAlignment="1">
      <alignment horizontal="center" vertical="center" wrapText="1"/>
    </xf>
    <xf numFmtId="1" fontId="7" fillId="3" borderId="36" xfId="0" applyNumberFormat="1" applyFont="1" applyFill="1" applyBorder="1" applyAlignment="1">
      <alignment horizontal="center" vertical="center" wrapText="1"/>
    </xf>
    <xf numFmtId="0" fontId="7" fillId="3" borderId="39" xfId="0" applyFont="1" applyFill="1" applyBorder="1" applyAlignment="1">
      <alignment horizontal="center" vertical="center" wrapText="1"/>
    </xf>
    <xf numFmtId="2" fontId="7" fillId="3" borderId="40" xfId="0" applyNumberFormat="1" applyFont="1" applyFill="1" applyBorder="1" applyAlignment="1">
      <alignment horizontal="center" vertical="center" wrapText="1"/>
    </xf>
    <xf numFmtId="165" fontId="7" fillId="3" borderId="40" xfId="0" applyNumberFormat="1" applyFont="1" applyFill="1" applyBorder="1" applyAlignment="1">
      <alignment horizontal="center" vertical="center" wrapText="1"/>
    </xf>
    <xf numFmtId="0" fontId="7" fillId="3" borderId="40" xfId="0" applyFont="1" applyFill="1" applyBorder="1" applyAlignment="1">
      <alignment horizontal="center" vertical="center" wrapText="1"/>
    </xf>
    <xf numFmtId="1" fontId="7" fillId="3" borderId="40" xfId="0" applyNumberFormat="1" applyFont="1" applyFill="1" applyBorder="1" applyAlignment="1">
      <alignment horizontal="center" vertical="center" wrapText="1"/>
    </xf>
    <xf numFmtId="1" fontId="7" fillId="3" borderId="41" xfId="0" applyNumberFormat="1" applyFont="1" applyFill="1" applyBorder="1" applyAlignment="1">
      <alignment horizontal="center" vertical="center" wrapText="1"/>
    </xf>
    <xf numFmtId="165" fontId="7" fillId="3" borderId="0" xfId="0" applyNumberFormat="1" applyFont="1" applyFill="1" applyAlignment="1">
      <alignment horizontal="center" vertical="center" wrapText="1"/>
    </xf>
    <xf numFmtId="0" fontId="7" fillId="3" borderId="25" xfId="0" applyFont="1" applyFill="1" applyBorder="1" applyAlignment="1">
      <alignment horizontal="center" vertical="center"/>
    </xf>
    <xf numFmtId="0" fontId="7" fillId="3" borderId="26" xfId="0" applyFont="1" applyFill="1" applyBorder="1" applyAlignment="1">
      <alignment horizontal="left" vertical="center"/>
    </xf>
    <xf numFmtId="1" fontId="7" fillId="3" borderId="32" xfId="0" applyNumberFormat="1" applyFont="1" applyFill="1" applyBorder="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7" fillId="4" borderId="42" xfId="0" applyFont="1" applyFill="1" applyBorder="1" applyAlignment="1">
      <alignment vertical="center"/>
    </xf>
    <xf numFmtId="14" fontId="11" fillId="4" borderId="0" xfId="0" applyNumberFormat="1" applyFont="1" applyFill="1" applyAlignment="1" applyProtection="1">
      <alignment horizontal="center" vertical="center"/>
      <protection locked="0"/>
    </xf>
    <xf numFmtId="0" fontId="11" fillId="4" borderId="0" xfId="0" applyFont="1" applyFill="1" applyAlignment="1" applyProtection="1">
      <alignment vertical="center"/>
      <protection locked="0"/>
    </xf>
    <xf numFmtId="0" fontId="11" fillId="4" borderId="0" xfId="0" applyFont="1" applyFill="1" applyAlignment="1" applyProtection="1">
      <alignment horizontal="right" vertical="center"/>
      <protection locked="0"/>
    </xf>
    <xf numFmtId="0" fontId="11" fillId="4" borderId="8" xfId="0" applyFont="1" applyFill="1" applyBorder="1" applyAlignment="1" applyProtection="1">
      <alignment vertical="center"/>
      <protection locked="0"/>
    </xf>
    <xf numFmtId="166" fontId="7" fillId="3" borderId="32" xfId="0" applyNumberFormat="1" applyFont="1" applyFill="1" applyBorder="1" applyAlignment="1">
      <alignment horizontal="center" vertical="center" wrapText="1"/>
    </xf>
    <xf numFmtId="0" fontId="11" fillId="4" borderId="26" xfId="0" applyFont="1" applyFill="1" applyBorder="1" applyAlignment="1" applyProtection="1">
      <alignment horizontal="center" vertical="center" wrapText="1"/>
      <protection locked="0"/>
    </xf>
    <xf numFmtId="0" fontId="11" fillId="4" borderId="29" xfId="0" applyFont="1" applyFill="1" applyBorder="1" applyAlignment="1" applyProtection="1">
      <alignment horizontal="center" vertical="center" wrapText="1"/>
      <protection locked="0"/>
    </xf>
    <xf numFmtId="0" fontId="11" fillId="4" borderId="32" xfId="0" applyFont="1" applyFill="1" applyBorder="1" applyAlignment="1" applyProtection="1">
      <alignment horizontal="center" vertical="center" wrapText="1"/>
      <protection locked="0"/>
    </xf>
    <xf numFmtId="0" fontId="11" fillId="4" borderId="0" xfId="0" applyFont="1" applyFill="1" applyAlignment="1" applyProtection="1">
      <alignment horizontal="center" vertical="center"/>
      <protection locked="0"/>
    </xf>
    <xf numFmtId="0" fontId="11" fillId="4" borderId="38" xfId="0" applyFont="1" applyFill="1" applyBorder="1" applyAlignment="1" applyProtection="1">
      <alignment horizontal="center" vertical="center" wrapText="1"/>
      <protection locked="0"/>
    </xf>
    <xf numFmtId="0" fontId="11" fillId="4" borderId="36" xfId="0" applyFont="1" applyFill="1" applyBorder="1" applyAlignment="1" applyProtection="1">
      <alignment horizontal="center" vertical="center" wrapText="1"/>
      <protection locked="0"/>
    </xf>
    <xf numFmtId="0" fontId="11" fillId="4" borderId="40" xfId="0" applyFont="1" applyFill="1" applyBorder="1" applyAlignment="1" applyProtection="1">
      <alignment horizontal="center" vertical="center" wrapText="1"/>
      <protection locked="0"/>
    </xf>
    <xf numFmtId="0" fontId="8" fillId="5" borderId="0" xfId="0" applyFont="1" applyFill="1" applyAlignment="1">
      <alignment vertical="center"/>
    </xf>
    <xf numFmtId="0" fontId="8" fillId="5" borderId="32" xfId="0" applyFont="1" applyFill="1" applyBorder="1" applyAlignment="1">
      <alignment horizontal="center" vertical="center" wrapText="1"/>
    </xf>
    <xf numFmtId="0" fontId="4" fillId="2" borderId="16" xfId="0" applyFont="1" applyFill="1" applyBorder="1" applyAlignment="1">
      <alignment horizontal="center"/>
    </xf>
    <xf numFmtId="0" fontId="4" fillId="2" borderId="13" xfId="0" applyFont="1" applyFill="1" applyBorder="1" applyAlignment="1">
      <alignment horizontal="center"/>
    </xf>
    <xf numFmtId="0" fontId="5" fillId="2" borderId="16"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4" fillId="2" borderId="16" xfId="0" applyFont="1" applyFill="1" applyBorder="1" applyAlignment="1">
      <alignment horizontal="left"/>
    </xf>
    <xf numFmtId="0" fontId="4" fillId="2" borderId="13" xfId="0" applyFont="1" applyFill="1" applyBorder="1" applyAlignment="1">
      <alignment horizontal="left"/>
    </xf>
    <xf numFmtId="14" fontId="4" fillId="2" borderId="1" xfId="0" applyNumberFormat="1" applyFont="1" applyFill="1" applyBorder="1" applyAlignment="1" applyProtection="1">
      <alignment horizontal="left"/>
      <protection locked="0"/>
    </xf>
    <xf numFmtId="0" fontId="7" fillId="3" borderId="35" xfId="0" applyFont="1" applyFill="1" applyBorder="1" applyAlignment="1">
      <alignment horizontal="center" vertical="center" textRotation="90"/>
    </xf>
    <xf numFmtId="0" fontId="7" fillId="3" borderId="28" xfId="0" applyFont="1" applyFill="1" applyBorder="1" applyAlignment="1">
      <alignment horizontal="center" vertical="center" textRotation="180"/>
    </xf>
    <xf numFmtId="0" fontId="4" fillId="2" borderId="16" xfId="0" applyFont="1" applyFill="1" applyBorder="1" applyAlignment="1" applyProtection="1">
      <alignment horizontal="left"/>
      <protection locked="0"/>
    </xf>
    <xf numFmtId="0" fontId="4" fillId="2" borderId="43" xfId="0" applyFont="1" applyFill="1" applyBorder="1" applyAlignment="1" applyProtection="1">
      <alignment horizontal="left"/>
      <protection locked="0"/>
    </xf>
    <xf numFmtId="0" fontId="4" fillId="2" borderId="13" xfId="0" applyFont="1" applyFill="1" applyBorder="1" applyAlignment="1" applyProtection="1">
      <alignment horizontal="left"/>
      <protection locked="0"/>
    </xf>
    <xf numFmtId="0" fontId="4" fillId="3" borderId="0" xfId="0" applyFont="1" applyFill="1" applyAlignment="1">
      <alignment horizontal="left" vertical="center" wrapText="1"/>
    </xf>
    <xf numFmtId="0" fontId="7" fillId="3" borderId="25"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4" fillId="3" borderId="32" xfId="0" applyFont="1" applyFill="1" applyBorder="1" applyAlignment="1">
      <alignment vertical="center"/>
    </xf>
    <xf numFmtId="0" fontId="8" fillId="5" borderId="0" xfId="0" applyFont="1" applyFill="1" applyAlignment="1">
      <alignment horizontal="center" vertical="center" wrapText="1"/>
    </xf>
    <xf numFmtId="0" fontId="5" fillId="5" borderId="0" xfId="0" applyFont="1" applyFill="1" applyAlignment="1">
      <alignment horizontal="center" vertical="center"/>
    </xf>
    <xf numFmtId="0" fontId="4" fillId="3" borderId="29" xfId="0" applyFont="1" applyFill="1" applyBorder="1" applyAlignment="1">
      <alignment vertical="center"/>
    </xf>
    <xf numFmtId="0" fontId="4" fillId="3" borderId="26" xfId="0" applyFont="1" applyFill="1" applyBorder="1" applyAlignment="1">
      <alignment vertical="center"/>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64</xdr:row>
      <xdr:rowOff>38100</xdr:rowOff>
    </xdr:from>
    <xdr:to>
      <xdr:col>8</xdr:col>
      <xdr:colOff>57150</xdr:colOff>
      <xdr:row>65</xdr:row>
      <xdr:rowOff>38100</xdr:rowOff>
    </xdr:to>
    <xdr:grpSp>
      <xdr:nvGrpSpPr>
        <xdr:cNvPr id="11826" name="Group 8258">
          <a:extLst>
            <a:ext uri="{FF2B5EF4-FFF2-40B4-BE49-F238E27FC236}">
              <a16:creationId xmlns:a16="http://schemas.microsoft.com/office/drawing/2014/main" id="{41AE0080-B5D6-481F-0DAB-F9D804984AC0}"/>
            </a:ext>
          </a:extLst>
        </xdr:cNvPr>
        <xdr:cNvGrpSpPr>
          <a:grpSpLocks/>
        </xdr:cNvGrpSpPr>
      </xdr:nvGrpSpPr>
      <xdr:grpSpPr bwMode="auto">
        <a:xfrm>
          <a:off x="838200" y="12630150"/>
          <a:ext cx="4095750" cy="190500"/>
          <a:chOff x="17" y="365"/>
          <a:chExt cx="521" cy="19"/>
        </a:xfrm>
      </xdr:grpSpPr>
      <xdr:cxnSp macro="">
        <xdr:nvCxnSpPr>
          <xdr:cNvPr id="22" name="Straight Connector 7">
            <a:extLst>
              <a:ext uri="{FF2B5EF4-FFF2-40B4-BE49-F238E27FC236}">
                <a16:creationId xmlns:a16="http://schemas.microsoft.com/office/drawing/2014/main" id="{93DAEC97-69B0-B615-485B-76EE36F340CE}"/>
              </a:ext>
            </a:extLst>
          </xdr:cNvPr>
          <xdr:cNvCxnSpPr/>
        </xdr:nvCxnSpPr>
        <xdr:spPr>
          <a:xfrm>
            <a:off x="22" y="378"/>
            <a:ext cx="50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9">
            <a:extLst>
              <a:ext uri="{FF2B5EF4-FFF2-40B4-BE49-F238E27FC236}">
                <a16:creationId xmlns:a16="http://schemas.microsoft.com/office/drawing/2014/main" id="{997D1D71-2913-51BB-B6EF-9BA169421F72}"/>
              </a:ext>
            </a:extLst>
          </xdr:cNvPr>
          <xdr:cNvCxnSpPr/>
        </xdr:nvCxnSpPr>
        <xdr:spPr>
          <a:xfrm rot="10800000" flipV="1">
            <a:off x="17" y="373"/>
            <a:ext cx="11"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10">
            <a:extLst>
              <a:ext uri="{FF2B5EF4-FFF2-40B4-BE49-F238E27FC236}">
                <a16:creationId xmlns:a16="http://schemas.microsoft.com/office/drawing/2014/main" id="{42B2752C-807E-D6F8-FE57-3435C70DE465}"/>
              </a:ext>
            </a:extLst>
          </xdr:cNvPr>
          <xdr:cNvCxnSpPr/>
        </xdr:nvCxnSpPr>
        <xdr:spPr>
          <a:xfrm rot="10800000" flipV="1">
            <a:off x="128" y="374"/>
            <a:ext cx="12"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11">
            <a:extLst>
              <a:ext uri="{FF2B5EF4-FFF2-40B4-BE49-F238E27FC236}">
                <a16:creationId xmlns:a16="http://schemas.microsoft.com/office/drawing/2014/main" id="{DEF3839B-464A-9E3E-7EE2-CEC8AA275F65}"/>
              </a:ext>
            </a:extLst>
          </xdr:cNvPr>
          <xdr:cNvCxnSpPr/>
        </xdr:nvCxnSpPr>
        <xdr:spPr>
          <a:xfrm rot="10800000" flipV="1">
            <a:off x="417" y="374"/>
            <a:ext cx="11"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12">
            <a:extLst>
              <a:ext uri="{FF2B5EF4-FFF2-40B4-BE49-F238E27FC236}">
                <a16:creationId xmlns:a16="http://schemas.microsoft.com/office/drawing/2014/main" id="{1FE46FD8-E048-5D82-4205-413843419428}"/>
              </a:ext>
            </a:extLst>
          </xdr:cNvPr>
          <xdr:cNvCxnSpPr/>
        </xdr:nvCxnSpPr>
        <xdr:spPr>
          <a:xfrm rot="10800000" flipV="1">
            <a:off x="526" y="374"/>
            <a:ext cx="12"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a:extLst>
              <a:ext uri="{FF2B5EF4-FFF2-40B4-BE49-F238E27FC236}">
                <a16:creationId xmlns:a16="http://schemas.microsoft.com/office/drawing/2014/main" id="{CFD59695-0343-522A-6D54-5156CAE52D32}"/>
              </a:ext>
            </a:extLst>
          </xdr:cNvPr>
          <xdr:cNvCxnSpPr/>
        </xdr:nvCxnSpPr>
        <xdr:spPr>
          <a:xfrm rot="5400000">
            <a:off x="19" y="372"/>
            <a:ext cx="1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a:extLst>
              <a:ext uri="{FF2B5EF4-FFF2-40B4-BE49-F238E27FC236}">
                <a16:creationId xmlns:a16="http://schemas.microsoft.com/office/drawing/2014/main" id="{3B441460-21A3-0CDA-02AC-D0EBF15A851C}"/>
              </a:ext>
            </a:extLst>
          </xdr:cNvPr>
          <xdr:cNvCxnSpPr/>
        </xdr:nvCxnSpPr>
        <xdr:spPr>
          <a:xfrm rot="5400000">
            <a:off x="128" y="373"/>
            <a:ext cx="1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a:extLst>
              <a:ext uri="{FF2B5EF4-FFF2-40B4-BE49-F238E27FC236}">
                <a16:creationId xmlns:a16="http://schemas.microsoft.com/office/drawing/2014/main" id="{8B89E023-47F0-B548-948D-66F6976EC875}"/>
              </a:ext>
            </a:extLst>
          </xdr:cNvPr>
          <xdr:cNvCxnSpPr/>
        </xdr:nvCxnSpPr>
        <xdr:spPr>
          <a:xfrm rot="5400000">
            <a:off x="414" y="373"/>
            <a:ext cx="14"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a:extLst>
              <a:ext uri="{FF2B5EF4-FFF2-40B4-BE49-F238E27FC236}">
                <a16:creationId xmlns:a16="http://schemas.microsoft.com/office/drawing/2014/main" id="{7468B7B9-326E-B7B3-7D68-D0CA7D0224DA}"/>
              </a:ext>
            </a:extLst>
          </xdr:cNvPr>
          <xdr:cNvCxnSpPr/>
        </xdr:nvCxnSpPr>
        <xdr:spPr>
          <a:xfrm rot="5400000">
            <a:off x="522" y="373"/>
            <a:ext cx="1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285750</xdr:colOff>
      <xdr:row>52</xdr:row>
      <xdr:rowOff>133350</xdr:rowOff>
    </xdr:from>
    <xdr:to>
      <xdr:col>7</xdr:col>
      <xdr:colOff>676275</xdr:colOff>
      <xdr:row>63</xdr:row>
      <xdr:rowOff>180975</xdr:rowOff>
    </xdr:to>
    <xdr:grpSp>
      <xdr:nvGrpSpPr>
        <xdr:cNvPr id="11827" name="Group 8273">
          <a:extLst>
            <a:ext uri="{FF2B5EF4-FFF2-40B4-BE49-F238E27FC236}">
              <a16:creationId xmlns:a16="http://schemas.microsoft.com/office/drawing/2014/main" id="{0BE88AD1-682B-B994-CB70-D26E72F9CD15}"/>
            </a:ext>
          </a:extLst>
        </xdr:cNvPr>
        <xdr:cNvGrpSpPr>
          <a:grpSpLocks/>
        </xdr:cNvGrpSpPr>
      </xdr:nvGrpSpPr>
      <xdr:grpSpPr bwMode="auto">
        <a:xfrm>
          <a:off x="895350" y="10439400"/>
          <a:ext cx="3981450" cy="2143125"/>
          <a:chOff x="26" y="119"/>
          <a:chExt cx="506" cy="240"/>
        </a:xfrm>
      </xdr:grpSpPr>
      <xdr:grpSp>
        <xdr:nvGrpSpPr>
          <xdr:cNvPr id="12052" name="Group 8272">
            <a:extLst>
              <a:ext uri="{FF2B5EF4-FFF2-40B4-BE49-F238E27FC236}">
                <a16:creationId xmlns:a16="http://schemas.microsoft.com/office/drawing/2014/main" id="{99C19D13-31C2-DAF0-1C53-722347F598E3}"/>
              </a:ext>
            </a:extLst>
          </xdr:cNvPr>
          <xdr:cNvGrpSpPr>
            <a:grpSpLocks/>
          </xdr:cNvGrpSpPr>
        </xdr:nvGrpSpPr>
        <xdr:grpSpPr bwMode="auto">
          <a:xfrm>
            <a:off x="26" y="119"/>
            <a:ext cx="506" cy="240"/>
            <a:chOff x="26" y="119"/>
            <a:chExt cx="506" cy="240"/>
          </a:xfrm>
        </xdr:grpSpPr>
        <xdr:sp macro="" textlink="">
          <xdr:nvSpPr>
            <xdr:cNvPr id="16" name="Rectangle 3">
              <a:extLst>
                <a:ext uri="{FF2B5EF4-FFF2-40B4-BE49-F238E27FC236}">
                  <a16:creationId xmlns:a16="http://schemas.microsoft.com/office/drawing/2014/main" id="{C8A3A853-E0DE-D065-33FE-CC20C82B4D44}"/>
                </a:ext>
              </a:extLst>
            </xdr:cNvPr>
            <xdr:cNvSpPr/>
          </xdr:nvSpPr>
          <xdr:spPr>
            <a:xfrm>
              <a:off x="421" y="332"/>
              <a:ext cx="111" cy="27"/>
            </a:xfrm>
            <a:prstGeom prst="rect">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US" sz="1100"/>
            </a:p>
          </xdr:txBody>
        </xdr:sp>
        <xdr:sp macro="" textlink="">
          <xdr:nvSpPr>
            <xdr:cNvPr id="17" name="Rectangle 4">
              <a:extLst>
                <a:ext uri="{FF2B5EF4-FFF2-40B4-BE49-F238E27FC236}">
                  <a16:creationId xmlns:a16="http://schemas.microsoft.com/office/drawing/2014/main" id="{F0982959-DB5B-9FC9-B4CB-A5861A4268F6}"/>
                </a:ext>
              </a:extLst>
            </xdr:cNvPr>
            <xdr:cNvSpPr/>
          </xdr:nvSpPr>
          <xdr:spPr>
            <a:xfrm>
              <a:off x="26" y="332"/>
              <a:ext cx="111" cy="27"/>
            </a:xfrm>
            <a:prstGeom prst="rect">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US" sz="1100"/>
            </a:p>
          </xdr:txBody>
        </xdr:sp>
        <xdr:sp macro="" textlink="">
          <xdr:nvSpPr>
            <xdr:cNvPr id="21" name="Rectangle 1">
              <a:extLst>
                <a:ext uri="{FF2B5EF4-FFF2-40B4-BE49-F238E27FC236}">
                  <a16:creationId xmlns:a16="http://schemas.microsoft.com/office/drawing/2014/main" id="{2C19CD97-AEA3-76C9-89D5-89C0A86D4026}"/>
                </a:ext>
              </a:extLst>
            </xdr:cNvPr>
            <xdr:cNvSpPr/>
          </xdr:nvSpPr>
          <xdr:spPr>
            <a:xfrm>
              <a:off x="137" y="119"/>
              <a:ext cx="282" cy="240"/>
            </a:xfrm>
            <a:prstGeom prst="rect">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US" sz="1100"/>
            </a:p>
          </xdr:txBody>
        </xdr:sp>
      </xdr:grpSp>
      <xdr:sp macro="" textlink="">
        <xdr:nvSpPr>
          <xdr:cNvPr id="13" name="Rectangle 2">
            <a:extLst>
              <a:ext uri="{FF2B5EF4-FFF2-40B4-BE49-F238E27FC236}">
                <a16:creationId xmlns:a16="http://schemas.microsoft.com/office/drawing/2014/main" id="{ED7BF272-D990-03D5-39CC-7A3F2659C4BB}"/>
              </a:ext>
            </a:extLst>
          </xdr:cNvPr>
          <xdr:cNvSpPr/>
        </xdr:nvSpPr>
        <xdr:spPr>
          <a:xfrm>
            <a:off x="175" y="150"/>
            <a:ext cx="208" cy="181"/>
          </a:xfrm>
          <a:prstGeom prst="rect">
            <a:avLst/>
          </a:prstGeom>
          <a:noFill/>
        </xdr:spPr>
        <xdr:style>
          <a:lnRef idx="2">
            <a:schemeClr val="accent6"/>
          </a:lnRef>
          <a:fillRef idx="1">
            <a:schemeClr val="lt1"/>
          </a:fillRef>
          <a:effectRef idx="0">
            <a:schemeClr val="accent6"/>
          </a:effectRef>
          <a:fontRef idx="minor">
            <a:schemeClr val="dk1"/>
          </a:fontRef>
        </xdr:style>
        <xdr:txBody>
          <a:bodyPr rtlCol="0" anchor="ctr"/>
          <a:lstStyle/>
          <a:p>
            <a:pPr algn="ctr"/>
            <a:endParaRPr lang="en-US" sz="1100"/>
          </a:p>
        </xdr:txBody>
      </xdr:sp>
      <xdr:grpSp>
        <xdr:nvGrpSpPr>
          <xdr:cNvPr id="12054" name="Group 8238">
            <a:extLst>
              <a:ext uri="{FF2B5EF4-FFF2-40B4-BE49-F238E27FC236}">
                <a16:creationId xmlns:a16="http://schemas.microsoft.com/office/drawing/2014/main" id="{4CE20520-BE09-744D-C835-EF36C862CBAB}"/>
              </a:ext>
            </a:extLst>
          </xdr:cNvPr>
          <xdr:cNvGrpSpPr>
            <a:grpSpLocks/>
          </xdr:cNvGrpSpPr>
        </xdr:nvGrpSpPr>
        <xdr:grpSpPr bwMode="auto">
          <a:xfrm>
            <a:off x="227" y="147"/>
            <a:ext cx="12" cy="188"/>
            <a:chOff x="227" y="147"/>
            <a:chExt cx="12" cy="188"/>
          </a:xfrm>
        </xdr:grpSpPr>
        <xdr:cxnSp macro="">
          <xdr:nvCxnSpPr>
            <xdr:cNvPr id="12059" name="Straight Connector 16">
              <a:extLst>
                <a:ext uri="{FF2B5EF4-FFF2-40B4-BE49-F238E27FC236}">
                  <a16:creationId xmlns:a16="http://schemas.microsoft.com/office/drawing/2014/main" id="{7B819B74-ED58-FB75-DF2C-299ADFB8DEF5}"/>
                </a:ext>
              </a:extLst>
            </xdr:cNvPr>
            <xdr:cNvCxnSpPr>
              <a:cxnSpLocks noChangeShapeType="1"/>
            </xdr:cNvCxnSpPr>
          </xdr:nvCxnSpPr>
          <xdr:spPr bwMode="auto">
            <a:xfrm rot="10800000" flipV="1">
              <a:off x="228" y="147"/>
              <a:ext cx="10" cy="1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nvGrpSpPr>
            <xdr:cNvPr id="12060" name="Group 8237">
              <a:extLst>
                <a:ext uri="{FF2B5EF4-FFF2-40B4-BE49-F238E27FC236}">
                  <a16:creationId xmlns:a16="http://schemas.microsoft.com/office/drawing/2014/main" id="{CD67873F-9D28-6801-0483-3CDEF7F45D3D}"/>
                </a:ext>
              </a:extLst>
            </xdr:cNvPr>
            <xdr:cNvGrpSpPr>
              <a:grpSpLocks/>
            </xdr:cNvGrpSpPr>
          </xdr:nvGrpSpPr>
          <xdr:grpSpPr bwMode="auto">
            <a:xfrm>
              <a:off x="227" y="152"/>
              <a:ext cx="12" cy="183"/>
              <a:chOff x="227" y="152"/>
              <a:chExt cx="12" cy="183"/>
            </a:xfrm>
          </xdr:grpSpPr>
          <xdr:cxnSp macro="">
            <xdr:nvCxnSpPr>
              <xdr:cNvPr id="20" name="Straight Connector 19">
                <a:extLst>
                  <a:ext uri="{FF2B5EF4-FFF2-40B4-BE49-F238E27FC236}">
                    <a16:creationId xmlns:a16="http://schemas.microsoft.com/office/drawing/2014/main" id="{1D446231-66EB-34F8-E925-AFC9531945FE}"/>
                  </a:ext>
                </a:extLst>
              </xdr:cNvPr>
              <xdr:cNvCxnSpPr/>
            </xdr:nvCxnSpPr>
            <xdr:spPr>
              <a:xfrm rot="10800000" flipV="1">
                <a:off x="227" y="327"/>
                <a:ext cx="16" cy="1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5">
                <a:extLst>
                  <a:ext uri="{FF2B5EF4-FFF2-40B4-BE49-F238E27FC236}">
                    <a16:creationId xmlns:a16="http://schemas.microsoft.com/office/drawing/2014/main" id="{9A68E1C5-57D4-06BA-FE4F-E17BDA755737}"/>
                  </a:ext>
                </a:extLst>
              </xdr:cNvPr>
              <xdr:cNvCxnSpPr/>
            </xdr:nvCxnSpPr>
            <xdr:spPr>
              <a:xfrm rot="5400000">
                <a:off x="143" y="241"/>
                <a:ext cx="179"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grpSp>
        <xdr:nvGrpSpPr>
          <xdr:cNvPr id="12055" name="Group 8257">
            <a:extLst>
              <a:ext uri="{FF2B5EF4-FFF2-40B4-BE49-F238E27FC236}">
                <a16:creationId xmlns:a16="http://schemas.microsoft.com/office/drawing/2014/main" id="{CE63A373-F129-6B70-926E-F6D4E0ED1009}"/>
              </a:ext>
            </a:extLst>
          </xdr:cNvPr>
          <xdr:cNvGrpSpPr>
            <a:grpSpLocks/>
          </xdr:cNvGrpSpPr>
        </xdr:nvGrpSpPr>
        <xdr:grpSpPr bwMode="auto">
          <a:xfrm>
            <a:off x="171" y="214"/>
            <a:ext cx="217" cy="10"/>
            <a:chOff x="171" y="214"/>
            <a:chExt cx="217" cy="10"/>
          </a:xfrm>
        </xdr:grpSpPr>
        <xdr:cxnSp macro="">
          <xdr:nvCxnSpPr>
            <xdr:cNvPr id="14" name="Straight Connector 6">
              <a:extLst>
                <a:ext uri="{FF2B5EF4-FFF2-40B4-BE49-F238E27FC236}">
                  <a16:creationId xmlns:a16="http://schemas.microsoft.com/office/drawing/2014/main" id="{D177BF2F-BDF7-D43C-061F-59F7FBFC9AC2}"/>
                </a:ext>
              </a:extLst>
            </xdr:cNvPr>
            <xdr:cNvCxnSpPr/>
          </xdr:nvCxnSpPr>
          <xdr:spPr>
            <a:xfrm>
              <a:off x="180" y="219"/>
              <a:ext cx="20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E140BFBA-7B80-4B20-0280-2018B16ACED3}"/>
                </a:ext>
              </a:extLst>
            </xdr:cNvPr>
            <xdr:cNvCxnSpPr/>
          </xdr:nvCxnSpPr>
          <xdr:spPr>
            <a:xfrm rot="10800000" flipV="1">
              <a:off x="376" y="214"/>
              <a:ext cx="12"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B0DE77AE-D153-6AD4-9330-523675B47EFD}"/>
                </a:ext>
              </a:extLst>
            </xdr:cNvPr>
            <xdr:cNvCxnSpPr/>
          </xdr:nvCxnSpPr>
          <xdr:spPr>
            <a:xfrm rot="10800000" flipV="1">
              <a:off x="171" y="214"/>
              <a:ext cx="12"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57150</xdr:colOff>
      <xdr:row>50</xdr:row>
      <xdr:rowOff>171450</xdr:rowOff>
    </xdr:from>
    <xdr:to>
      <xdr:col>6</xdr:col>
      <xdr:colOff>485775</xdr:colOff>
      <xdr:row>51</xdr:row>
      <xdr:rowOff>161925</xdr:rowOff>
    </xdr:to>
    <xdr:grpSp>
      <xdr:nvGrpSpPr>
        <xdr:cNvPr id="11828" name="Group 8256">
          <a:extLst>
            <a:ext uri="{FF2B5EF4-FFF2-40B4-BE49-F238E27FC236}">
              <a16:creationId xmlns:a16="http://schemas.microsoft.com/office/drawing/2014/main" id="{8AF61E47-C73D-8915-2E0A-09E3FD4B01A5}"/>
            </a:ext>
          </a:extLst>
        </xdr:cNvPr>
        <xdr:cNvGrpSpPr>
          <a:grpSpLocks/>
        </xdr:cNvGrpSpPr>
      </xdr:nvGrpSpPr>
      <xdr:grpSpPr bwMode="auto">
        <a:xfrm>
          <a:off x="3714750" y="10096500"/>
          <a:ext cx="428625" cy="180975"/>
          <a:chOff x="374" y="82"/>
          <a:chExt cx="51" cy="19"/>
        </a:xfrm>
      </xdr:grpSpPr>
      <xdr:cxnSp macro="">
        <xdr:nvCxnSpPr>
          <xdr:cNvPr id="8" name="Straight Connector 26">
            <a:extLst>
              <a:ext uri="{FF2B5EF4-FFF2-40B4-BE49-F238E27FC236}">
                <a16:creationId xmlns:a16="http://schemas.microsoft.com/office/drawing/2014/main" id="{1C310127-F4F7-71CB-32DF-7EEB12C47421}"/>
              </a:ext>
            </a:extLst>
          </xdr:cNvPr>
          <xdr:cNvCxnSpPr/>
        </xdr:nvCxnSpPr>
        <xdr:spPr>
          <a:xfrm>
            <a:off x="380" y="87"/>
            <a:ext cx="4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27">
            <a:extLst>
              <a:ext uri="{FF2B5EF4-FFF2-40B4-BE49-F238E27FC236}">
                <a16:creationId xmlns:a16="http://schemas.microsoft.com/office/drawing/2014/main" id="{903F257A-9FF6-C2EF-F1B7-A2E2E9AA40CD}"/>
              </a:ext>
            </a:extLst>
          </xdr:cNvPr>
          <xdr:cNvCxnSpPr/>
        </xdr:nvCxnSpPr>
        <xdr:spPr>
          <a:xfrm rot="10800000" flipV="1">
            <a:off x="374" y="82"/>
            <a:ext cx="11"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28">
            <a:extLst>
              <a:ext uri="{FF2B5EF4-FFF2-40B4-BE49-F238E27FC236}">
                <a16:creationId xmlns:a16="http://schemas.microsoft.com/office/drawing/2014/main" id="{348D7E2B-9CAA-612A-2639-652E998A7E04}"/>
              </a:ext>
            </a:extLst>
          </xdr:cNvPr>
          <xdr:cNvCxnSpPr/>
        </xdr:nvCxnSpPr>
        <xdr:spPr>
          <a:xfrm rot="10800000" flipV="1">
            <a:off x="415" y="83"/>
            <a:ext cx="10"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29">
            <a:extLst>
              <a:ext uri="{FF2B5EF4-FFF2-40B4-BE49-F238E27FC236}">
                <a16:creationId xmlns:a16="http://schemas.microsoft.com/office/drawing/2014/main" id="{6C41909D-4E8C-C642-3667-B5DAF5C44010}"/>
              </a:ext>
            </a:extLst>
          </xdr:cNvPr>
          <xdr:cNvCxnSpPr/>
        </xdr:nvCxnSpPr>
        <xdr:spPr>
          <a:xfrm rot="5400000">
            <a:off x="373" y="94"/>
            <a:ext cx="1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30">
            <a:extLst>
              <a:ext uri="{FF2B5EF4-FFF2-40B4-BE49-F238E27FC236}">
                <a16:creationId xmlns:a16="http://schemas.microsoft.com/office/drawing/2014/main" id="{0090510F-3D8A-2B92-6B10-07BB5B88041A}"/>
              </a:ext>
            </a:extLst>
          </xdr:cNvPr>
          <xdr:cNvCxnSpPr/>
        </xdr:nvCxnSpPr>
        <xdr:spPr>
          <a:xfrm rot="5400000">
            <a:off x="413" y="94"/>
            <a:ext cx="1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295275</xdr:colOff>
      <xdr:row>57</xdr:row>
      <xdr:rowOff>142875</xdr:rowOff>
    </xdr:from>
    <xdr:to>
      <xdr:col>4</xdr:col>
      <xdr:colOff>609600</xdr:colOff>
      <xdr:row>59</xdr:row>
      <xdr:rowOff>38100</xdr:rowOff>
    </xdr:to>
    <xdr:sp macro="" textlink="">
      <xdr:nvSpPr>
        <xdr:cNvPr id="9257" name="TextBox 36">
          <a:extLst>
            <a:ext uri="{FF2B5EF4-FFF2-40B4-BE49-F238E27FC236}">
              <a16:creationId xmlns:a16="http://schemas.microsoft.com/office/drawing/2014/main" id="{5CB59C0B-C578-9D1C-81C0-7170FBCBFE44}"/>
            </a:ext>
          </a:extLst>
        </xdr:cNvPr>
        <xdr:cNvSpPr txBox="1">
          <a:spLocks noChangeArrowheads="1"/>
        </xdr:cNvSpPr>
      </xdr:nvSpPr>
      <xdr:spPr bwMode="auto">
        <a:xfrm>
          <a:off x="2276475" y="2238375"/>
          <a:ext cx="314325" cy="2762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4</xdr:col>
      <xdr:colOff>561975</xdr:colOff>
      <xdr:row>55</xdr:row>
      <xdr:rowOff>152400</xdr:rowOff>
    </xdr:from>
    <xdr:to>
      <xdr:col>5</xdr:col>
      <xdr:colOff>314325</xdr:colOff>
      <xdr:row>57</xdr:row>
      <xdr:rowOff>47625</xdr:rowOff>
    </xdr:to>
    <xdr:sp macro="" textlink="">
      <xdr:nvSpPr>
        <xdr:cNvPr id="9258" name="TextBox 37">
          <a:extLst>
            <a:ext uri="{FF2B5EF4-FFF2-40B4-BE49-F238E27FC236}">
              <a16:creationId xmlns:a16="http://schemas.microsoft.com/office/drawing/2014/main" id="{6DB8308F-DCA9-37DE-DE6F-5D55F060BF84}"/>
            </a:ext>
          </a:extLst>
        </xdr:cNvPr>
        <xdr:cNvSpPr txBox="1">
          <a:spLocks noChangeArrowheads="1"/>
        </xdr:cNvSpPr>
      </xdr:nvSpPr>
      <xdr:spPr bwMode="auto">
        <a:xfrm>
          <a:off x="2543175" y="1866900"/>
          <a:ext cx="371475" cy="2762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8</xdr:col>
      <xdr:colOff>447675</xdr:colOff>
      <xdr:row>63</xdr:row>
      <xdr:rowOff>142875</xdr:rowOff>
    </xdr:from>
    <xdr:to>
      <xdr:col>8</xdr:col>
      <xdr:colOff>561975</xdr:colOff>
      <xdr:row>64</xdr:row>
      <xdr:rowOff>38100</xdr:rowOff>
    </xdr:to>
    <xdr:cxnSp macro="">
      <xdr:nvCxnSpPr>
        <xdr:cNvPr id="11831" name="Straight Connector 13">
          <a:extLst>
            <a:ext uri="{FF2B5EF4-FFF2-40B4-BE49-F238E27FC236}">
              <a16:creationId xmlns:a16="http://schemas.microsoft.com/office/drawing/2014/main" id="{A3B883FF-EFF7-93C4-8E92-13D9EC919267}"/>
            </a:ext>
          </a:extLst>
        </xdr:cNvPr>
        <xdr:cNvCxnSpPr>
          <a:cxnSpLocks noChangeShapeType="1"/>
        </xdr:cNvCxnSpPr>
      </xdr:nvCxnSpPr>
      <xdr:spPr bwMode="auto">
        <a:xfrm rot="10800000" flipV="1">
          <a:off x="5324475" y="12544425"/>
          <a:ext cx="114300" cy="857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438150</xdr:colOff>
      <xdr:row>62</xdr:row>
      <xdr:rowOff>66675</xdr:rowOff>
    </xdr:from>
    <xdr:to>
      <xdr:col>8</xdr:col>
      <xdr:colOff>542925</xdr:colOff>
      <xdr:row>62</xdr:row>
      <xdr:rowOff>152400</xdr:rowOff>
    </xdr:to>
    <xdr:cxnSp macro="">
      <xdr:nvCxnSpPr>
        <xdr:cNvPr id="11832" name="Straight Connector 14">
          <a:extLst>
            <a:ext uri="{FF2B5EF4-FFF2-40B4-BE49-F238E27FC236}">
              <a16:creationId xmlns:a16="http://schemas.microsoft.com/office/drawing/2014/main" id="{6FC02A54-6F48-9DC6-759E-A9E7648E481C}"/>
            </a:ext>
          </a:extLst>
        </xdr:cNvPr>
        <xdr:cNvCxnSpPr>
          <a:cxnSpLocks noChangeShapeType="1"/>
        </xdr:cNvCxnSpPr>
      </xdr:nvCxnSpPr>
      <xdr:spPr bwMode="auto">
        <a:xfrm rot="10800000" flipV="1">
          <a:off x="5314950" y="12277725"/>
          <a:ext cx="104775" cy="857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495300</xdr:colOff>
      <xdr:row>52</xdr:row>
      <xdr:rowOff>142875</xdr:rowOff>
    </xdr:from>
    <xdr:to>
      <xdr:col>8</xdr:col>
      <xdr:colOff>495300</xdr:colOff>
      <xdr:row>64</xdr:row>
      <xdr:rowOff>0</xdr:rowOff>
    </xdr:to>
    <xdr:cxnSp macro="">
      <xdr:nvCxnSpPr>
        <xdr:cNvPr id="11833" name="Straight Connector 8">
          <a:extLst>
            <a:ext uri="{FF2B5EF4-FFF2-40B4-BE49-F238E27FC236}">
              <a16:creationId xmlns:a16="http://schemas.microsoft.com/office/drawing/2014/main" id="{EC367113-AF45-0BBF-A439-4ABACB3738A9}"/>
            </a:ext>
          </a:extLst>
        </xdr:cNvPr>
        <xdr:cNvCxnSpPr>
          <a:cxnSpLocks noChangeShapeType="1"/>
        </xdr:cNvCxnSpPr>
      </xdr:nvCxnSpPr>
      <xdr:spPr bwMode="auto">
        <a:xfrm rot="5400000">
          <a:off x="4300537" y="11520488"/>
          <a:ext cx="21431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438150</xdr:colOff>
      <xdr:row>52</xdr:row>
      <xdr:rowOff>95250</xdr:rowOff>
    </xdr:from>
    <xdr:to>
      <xdr:col>8</xdr:col>
      <xdr:colOff>542925</xdr:colOff>
      <xdr:row>52</xdr:row>
      <xdr:rowOff>180975</xdr:rowOff>
    </xdr:to>
    <xdr:cxnSp macro="">
      <xdr:nvCxnSpPr>
        <xdr:cNvPr id="11834" name="Straight Connector 15">
          <a:extLst>
            <a:ext uri="{FF2B5EF4-FFF2-40B4-BE49-F238E27FC236}">
              <a16:creationId xmlns:a16="http://schemas.microsoft.com/office/drawing/2014/main" id="{39201432-1EA9-54F6-CB61-C1198E753DE4}"/>
            </a:ext>
          </a:extLst>
        </xdr:cNvPr>
        <xdr:cNvCxnSpPr>
          <a:cxnSpLocks noChangeShapeType="1"/>
        </xdr:cNvCxnSpPr>
      </xdr:nvCxnSpPr>
      <xdr:spPr bwMode="auto">
        <a:xfrm rot="10800000" flipV="1">
          <a:off x="5314950" y="10401300"/>
          <a:ext cx="104775" cy="857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447675</xdr:colOff>
      <xdr:row>53</xdr:row>
      <xdr:rowOff>142875</xdr:rowOff>
    </xdr:from>
    <xdr:to>
      <xdr:col>8</xdr:col>
      <xdr:colOff>561975</xdr:colOff>
      <xdr:row>54</xdr:row>
      <xdr:rowOff>38100</xdr:rowOff>
    </xdr:to>
    <xdr:cxnSp macro="">
      <xdr:nvCxnSpPr>
        <xdr:cNvPr id="11835" name="Straight Connector 35">
          <a:extLst>
            <a:ext uri="{FF2B5EF4-FFF2-40B4-BE49-F238E27FC236}">
              <a16:creationId xmlns:a16="http://schemas.microsoft.com/office/drawing/2014/main" id="{A8BAF5E1-BF21-0EFD-77F9-0589B6D7303F}"/>
            </a:ext>
          </a:extLst>
        </xdr:cNvPr>
        <xdr:cNvCxnSpPr>
          <a:cxnSpLocks noChangeShapeType="1"/>
        </xdr:cNvCxnSpPr>
      </xdr:nvCxnSpPr>
      <xdr:spPr bwMode="auto">
        <a:xfrm rot="10800000" flipV="1">
          <a:off x="5324475" y="10639425"/>
          <a:ext cx="114300" cy="857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238125</xdr:colOff>
      <xdr:row>52</xdr:row>
      <xdr:rowOff>133350</xdr:rowOff>
    </xdr:from>
    <xdr:to>
      <xdr:col>8</xdr:col>
      <xdr:colOff>495300</xdr:colOff>
      <xdr:row>52</xdr:row>
      <xdr:rowOff>133350</xdr:rowOff>
    </xdr:to>
    <xdr:cxnSp macro="">
      <xdr:nvCxnSpPr>
        <xdr:cNvPr id="11836" name="Straight Connector 39">
          <a:extLst>
            <a:ext uri="{FF2B5EF4-FFF2-40B4-BE49-F238E27FC236}">
              <a16:creationId xmlns:a16="http://schemas.microsoft.com/office/drawing/2014/main" id="{E50F1E49-4508-6210-379C-01F703012CA0}"/>
            </a:ext>
          </a:extLst>
        </xdr:cNvPr>
        <xdr:cNvCxnSpPr>
          <a:cxnSpLocks noChangeShapeType="1"/>
        </xdr:cNvCxnSpPr>
      </xdr:nvCxnSpPr>
      <xdr:spPr bwMode="auto">
        <a:xfrm rot="10800000">
          <a:off x="5114925" y="10439400"/>
          <a:ext cx="2571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238125</xdr:colOff>
      <xdr:row>53</xdr:row>
      <xdr:rowOff>180975</xdr:rowOff>
    </xdr:from>
    <xdr:to>
      <xdr:col>8</xdr:col>
      <xdr:colOff>495300</xdr:colOff>
      <xdr:row>53</xdr:row>
      <xdr:rowOff>180975</xdr:rowOff>
    </xdr:to>
    <xdr:cxnSp macro="">
      <xdr:nvCxnSpPr>
        <xdr:cNvPr id="11837" name="Straight Connector 40">
          <a:extLst>
            <a:ext uri="{FF2B5EF4-FFF2-40B4-BE49-F238E27FC236}">
              <a16:creationId xmlns:a16="http://schemas.microsoft.com/office/drawing/2014/main" id="{953E7F2B-A26B-1534-5F3C-B7BC8EFE3BBA}"/>
            </a:ext>
          </a:extLst>
        </xdr:cNvPr>
        <xdr:cNvCxnSpPr>
          <a:cxnSpLocks noChangeShapeType="1"/>
        </xdr:cNvCxnSpPr>
      </xdr:nvCxnSpPr>
      <xdr:spPr bwMode="auto">
        <a:xfrm rot="10800000">
          <a:off x="5114925" y="10677525"/>
          <a:ext cx="2571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352425</xdr:colOff>
      <xdr:row>62</xdr:row>
      <xdr:rowOff>104775</xdr:rowOff>
    </xdr:from>
    <xdr:to>
      <xdr:col>8</xdr:col>
      <xdr:colOff>495300</xdr:colOff>
      <xdr:row>62</xdr:row>
      <xdr:rowOff>104775</xdr:rowOff>
    </xdr:to>
    <xdr:cxnSp macro="">
      <xdr:nvCxnSpPr>
        <xdr:cNvPr id="11838" name="Straight Connector 41">
          <a:extLst>
            <a:ext uri="{FF2B5EF4-FFF2-40B4-BE49-F238E27FC236}">
              <a16:creationId xmlns:a16="http://schemas.microsoft.com/office/drawing/2014/main" id="{285FB7CE-D728-796B-1AD4-014869B9191B}"/>
            </a:ext>
          </a:extLst>
        </xdr:cNvPr>
        <xdr:cNvCxnSpPr>
          <a:cxnSpLocks noChangeShapeType="1"/>
        </xdr:cNvCxnSpPr>
      </xdr:nvCxnSpPr>
      <xdr:spPr bwMode="auto">
        <a:xfrm rot="10800000">
          <a:off x="5229225" y="12315825"/>
          <a:ext cx="1428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352425</xdr:colOff>
      <xdr:row>63</xdr:row>
      <xdr:rowOff>180975</xdr:rowOff>
    </xdr:from>
    <xdr:to>
      <xdr:col>8</xdr:col>
      <xdr:colOff>495300</xdr:colOff>
      <xdr:row>63</xdr:row>
      <xdr:rowOff>180975</xdr:rowOff>
    </xdr:to>
    <xdr:cxnSp macro="">
      <xdr:nvCxnSpPr>
        <xdr:cNvPr id="11839" name="Straight Connector 43">
          <a:extLst>
            <a:ext uri="{FF2B5EF4-FFF2-40B4-BE49-F238E27FC236}">
              <a16:creationId xmlns:a16="http://schemas.microsoft.com/office/drawing/2014/main" id="{C95D9401-0B53-3EDB-E04A-A5FD17D219CE}"/>
            </a:ext>
          </a:extLst>
        </xdr:cNvPr>
        <xdr:cNvCxnSpPr>
          <a:cxnSpLocks noChangeShapeType="1"/>
        </xdr:cNvCxnSpPr>
      </xdr:nvCxnSpPr>
      <xdr:spPr bwMode="auto">
        <a:xfrm rot="10800000">
          <a:off x="5229225" y="12582525"/>
          <a:ext cx="1428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66675</xdr:colOff>
      <xdr:row>64</xdr:row>
      <xdr:rowOff>133350</xdr:rowOff>
    </xdr:from>
    <xdr:to>
      <xdr:col>2</xdr:col>
      <xdr:colOff>419100</xdr:colOff>
      <xdr:row>65</xdr:row>
      <xdr:rowOff>180975</xdr:rowOff>
    </xdr:to>
    <xdr:sp macro="" textlink="">
      <xdr:nvSpPr>
        <xdr:cNvPr id="9212" name="TextBox 49">
          <a:extLst>
            <a:ext uri="{FF2B5EF4-FFF2-40B4-BE49-F238E27FC236}">
              <a16:creationId xmlns:a16="http://schemas.microsoft.com/office/drawing/2014/main" id="{1F864184-656E-E7E6-B014-51C12874F698}"/>
            </a:ext>
          </a:extLst>
        </xdr:cNvPr>
        <xdr:cNvSpPr txBox="1">
          <a:spLocks noChangeArrowheads="1"/>
        </xdr:cNvSpPr>
      </xdr:nvSpPr>
      <xdr:spPr bwMode="auto">
        <a:xfrm>
          <a:off x="790575" y="3562350"/>
          <a:ext cx="352425" cy="2381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8</xdr:col>
      <xdr:colOff>209550</xdr:colOff>
      <xdr:row>62</xdr:row>
      <xdr:rowOff>133350</xdr:rowOff>
    </xdr:from>
    <xdr:to>
      <xdr:col>8</xdr:col>
      <xdr:colOff>581025</xdr:colOff>
      <xdr:row>64</xdr:row>
      <xdr:rowOff>57150</xdr:rowOff>
    </xdr:to>
    <xdr:sp macro="" textlink="">
      <xdr:nvSpPr>
        <xdr:cNvPr id="9213" name="TextBox 50">
          <a:extLst>
            <a:ext uri="{FF2B5EF4-FFF2-40B4-BE49-F238E27FC236}">
              <a16:creationId xmlns:a16="http://schemas.microsoft.com/office/drawing/2014/main" id="{8F76D6B5-FDB6-EBFD-3B03-4949ABCC19B2}"/>
            </a:ext>
          </a:extLst>
        </xdr:cNvPr>
        <xdr:cNvSpPr txBox="1">
          <a:spLocks noChangeArrowheads="1"/>
        </xdr:cNvSpPr>
      </xdr:nvSpPr>
      <xdr:spPr bwMode="auto">
        <a:xfrm>
          <a:off x="5019675" y="3181350"/>
          <a:ext cx="371475" cy="304800"/>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7</xdr:col>
      <xdr:colOff>104775</xdr:colOff>
      <xdr:row>64</xdr:row>
      <xdr:rowOff>142875</xdr:rowOff>
    </xdr:from>
    <xdr:to>
      <xdr:col>7</xdr:col>
      <xdr:colOff>466725</xdr:colOff>
      <xdr:row>66</xdr:row>
      <xdr:rowOff>0</xdr:rowOff>
    </xdr:to>
    <xdr:sp macro="" textlink="">
      <xdr:nvSpPr>
        <xdr:cNvPr id="9214" name="TextBox 51">
          <a:extLst>
            <a:ext uri="{FF2B5EF4-FFF2-40B4-BE49-F238E27FC236}">
              <a16:creationId xmlns:a16="http://schemas.microsoft.com/office/drawing/2014/main" id="{1150B15E-1FFB-EA1E-3176-4143E0862876}"/>
            </a:ext>
          </a:extLst>
        </xdr:cNvPr>
        <xdr:cNvSpPr txBox="1">
          <a:spLocks noChangeArrowheads="1"/>
        </xdr:cNvSpPr>
      </xdr:nvSpPr>
      <xdr:spPr bwMode="auto">
        <a:xfrm>
          <a:off x="4229100" y="3571875"/>
          <a:ext cx="361950" cy="2381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5</xdr:col>
      <xdr:colOff>133350</xdr:colOff>
      <xdr:row>64</xdr:row>
      <xdr:rowOff>152400</xdr:rowOff>
    </xdr:from>
    <xdr:to>
      <xdr:col>5</xdr:col>
      <xdr:colOff>495300</xdr:colOff>
      <xdr:row>66</xdr:row>
      <xdr:rowOff>0</xdr:rowOff>
    </xdr:to>
    <xdr:sp macro="" textlink="">
      <xdr:nvSpPr>
        <xdr:cNvPr id="9215" name="TextBox 52">
          <a:extLst>
            <a:ext uri="{FF2B5EF4-FFF2-40B4-BE49-F238E27FC236}">
              <a16:creationId xmlns:a16="http://schemas.microsoft.com/office/drawing/2014/main" id="{9D826A88-0F43-AA9E-FC04-0EF50C2BB3CA}"/>
            </a:ext>
          </a:extLst>
        </xdr:cNvPr>
        <xdr:cNvSpPr txBox="1">
          <a:spLocks noChangeArrowheads="1"/>
        </xdr:cNvSpPr>
      </xdr:nvSpPr>
      <xdr:spPr bwMode="auto">
        <a:xfrm>
          <a:off x="2733675" y="3581400"/>
          <a:ext cx="361950" cy="228600"/>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6</xdr:col>
      <xdr:colOff>428625</xdr:colOff>
      <xdr:row>49</xdr:row>
      <xdr:rowOff>133350</xdr:rowOff>
    </xdr:from>
    <xdr:to>
      <xdr:col>7</xdr:col>
      <xdr:colOff>47625</xdr:colOff>
      <xdr:row>50</xdr:row>
      <xdr:rowOff>180975</xdr:rowOff>
    </xdr:to>
    <xdr:sp macro="" textlink="">
      <xdr:nvSpPr>
        <xdr:cNvPr id="9216" name="TextBox 53">
          <a:extLst>
            <a:ext uri="{FF2B5EF4-FFF2-40B4-BE49-F238E27FC236}">
              <a16:creationId xmlns:a16="http://schemas.microsoft.com/office/drawing/2014/main" id="{521ECD92-4059-6901-C202-0999AA2BDF67}"/>
            </a:ext>
          </a:extLst>
        </xdr:cNvPr>
        <xdr:cNvSpPr txBox="1">
          <a:spLocks noChangeArrowheads="1"/>
        </xdr:cNvSpPr>
      </xdr:nvSpPr>
      <xdr:spPr bwMode="auto">
        <a:xfrm>
          <a:off x="3800475" y="704850"/>
          <a:ext cx="371475" cy="2381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3</xdr:col>
      <xdr:colOff>152400</xdr:colOff>
      <xdr:row>49</xdr:row>
      <xdr:rowOff>133350</xdr:rowOff>
    </xdr:from>
    <xdr:to>
      <xdr:col>3</xdr:col>
      <xdr:colOff>523875</xdr:colOff>
      <xdr:row>50</xdr:row>
      <xdr:rowOff>180975</xdr:rowOff>
    </xdr:to>
    <xdr:sp macro="" textlink="">
      <xdr:nvSpPr>
        <xdr:cNvPr id="9217" name="TextBox 54">
          <a:extLst>
            <a:ext uri="{FF2B5EF4-FFF2-40B4-BE49-F238E27FC236}">
              <a16:creationId xmlns:a16="http://schemas.microsoft.com/office/drawing/2014/main" id="{95288711-5803-A1CE-921A-12043D0A2C45}"/>
            </a:ext>
          </a:extLst>
        </xdr:cNvPr>
        <xdr:cNvSpPr txBox="1">
          <a:spLocks noChangeArrowheads="1"/>
        </xdr:cNvSpPr>
      </xdr:nvSpPr>
      <xdr:spPr bwMode="auto">
        <a:xfrm>
          <a:off x="1514475" y="704850"/>
          <a:ext cx="371475" cy="2381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8</xdr:col>
      <xdr:colOff>161925</xdr:colOff>
      <xdr:row>52</xdr:row>
      <xdr:rowOff>133350</xdr:rowOff>
    </xdr:from>
    <xdr:to>
      <xdr:col>8</xdr:col>
      <xdr:colOff>600075</xdr:colOff>
      <xdr:row>54</xdr:row>
      <xdr:rowOff>47625</xdr:rowOff>
    </xdr:to>
    <xdr:sp macro="" textlink="">
      <xdr:nvSpPr>
        <xdr:cNvPr id="9218" name="TextBox 55">
          <a:extLst>
            <a:ext uri="{FF2B5EF4-FFF2-40B4-BE49-F238E27FC236}">
              <a16:creationId xmlns:a16="http://schemas.microsoft.com/office/drawing/2014/main" id="{7645EBFF-82CF-7424-F375-6EA9D25C43F1}"/>
            </a:ext>
          </a:extLst>
        </xdr:cNvPr>
        <xdr:cNvSpPr txBox="1">
          <a:spLocks noChangeArrowheads="1"/>
        </xdr:cNvSpPr>
      </xdr:nvSpPr>
      <xdr:spPr bwMode="auto">
        <a:xfrm>
          <a:off x="4972050" y="1276350"/>
          <a:ext cx="438150" cy="29527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m</a:t>
          </a:r>
        </a:p>
      </xdr:txBody>
    </xdr:sp>
    <xdr:clientData/>
  </xdr:twoCellAnchor>
  <xdr:twoCellAnchor>
    <xdr:from>
      <xdr:col>6</xdr:col>
      <xdr:colOff>179295</xdr:colOff>
      <xdr:row>78</xdr:row>
      <xdr:rowOff>156882</xdr:rowOff>
    </xdr:from>
    <xdr:to>
      <xdr:col>6</xdr:col>
      <xdr:colOff>515472</xdr:colOff>
      <xdr:row>80</xdr:row>
      <xdr:rowOff>22412</xdr:rowOff>
    </xdr:to>
    <xdr:sp macro="" textlink="">
      <xdr:nvSpPr>
        <xdr:cNvPr id="58" name="TextBox 57">
          <a:extLst>
            <a:ext uri="{FF2B5EF4-FFF2-40B4-BE49-F238E27FC236}">
              <a16:creationId xmlns:a16="http://schemas.microsoft.com/office/drawing/2014/main" id="{4769E626-E612-EB4A-6320-548C9D1A94E6}"/>
            </a:ext>
          </a:extLst>
        </xdr:cNvPr>
        <xdr:cNvSpPr txBox="1"/>
      </xdr:nvSpPr>
      <xdr:spPr>
        <a:xfrm>
          <a:off x="3810001" y="5871882"/>
          <a:ext cx="336177" cy="246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M</a:t>
          </a:r>
        </a:p>
      </xdr:txBody>
    </xdr:sp>
    <xdr:clientData/>
  </xdr:twoCellAnchor>
  <xdr:twoCellAnchor>
    <xdr:from>
      <xdr:col>6</xdr:col>
      <xdr:colOff>107575</xdr:colOff>
      <xdr:row>80</xdr:row>
      <xdr:rowOff>174814</xdr:rowOff>
    </xdr:from>
    <xdr:to>
      <xdr:col>6</xdr:col>
      <xdr:colOff>443752</xdr:colOff>
      <xdr:row>83</xdr:row>
      <xdr:rowOff>6726</xdr:rowOff>
    </xdr:to>
    <xdr:sp macro="" textlink="">
      <xdr:nvSpPr>
        <xdr:cNvPr id="59" name="TextBox 58">
          <a:extLst>
            <a:ext uri="{FF2B5EF4-FFF2-40B4-BE49-F238E27FC236}">
              <a16:creationId xmlns:a16="http://schemas.microsoft.com/office/drawing/2014/main" id="{501F0499-8B66-EAB4-D701-41F3380AA2A8}"/>
            </a:ext>
          </a:extLst>
        </xdr:cNvPr>
        <xdr:cNvSpPr txBox="1"/>
      </xdr:nvSpPr>
      <xdr:spPr>
        <a:xfrm>
          <a:off x="3738281" y="6270814"/>
          <a:ext cx="336177" cy="246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50" b="1"/>
            <a:t>Fe</a:t>
          </a:r>
        </a:p>
      </xdr:txBody>
    </xdr:sp>
    <xdr:clientData/>
  </xdr:twoCellAnchor>
  <xdr:twoCellAnchor>
    <xdr:from>
      <xdr:col>4</xdr:col>
      <xdr:colOff>582706</xdr:colOff>
      <xdr:row>154</xdr:row>
      <xdr:rowOff>56031</xdr:rowOff>
    </xdr:from>
    <xdr:to>
      <xdr:col>6</xdr:col>
      <xdr:colOff>11206</xdr:colOff>
      <xdr:row>165</xdr:row>
      <xdr:rowOff>179294</xdr:rowOff>
    </xdr:to>
    <xdr:sp macro="" textlink="">
      <xdr:nvSpPr>
        <xdr:cNvPr id="92" name="Rectangle 91">
          <a:extLst>
            <a:ext uri="{FF2B5EF4-FFF2-40B4-BE49-F238E27FC236}">
              <a16:creationId xmlns:a16="http://schemas.microsoft.com/office/drawing/2014/main" id="{EB4AAACA-98F2-45DE-C961-4BDE817AD272}"/>
            </a:ext>
          </a:extLst>
        </xdr:cNvPr>
        <xdr:cNvSpPr/>
      </xdr:nvSpPr>
      <xdr:spPr>
        <a:xfrm>
          <a:off x="2398059" y="20260237"/>
          <a:ext cx="638735" cy="221876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11207</xdr:colOff>
      <xdr:row>154</xdr:row>
      <xdr:rowOff>56031</xdr:rowOff>
    </xdr:from>
    <xdr:to>
      <xdr:col>7</xdr:col>
      <xdr:colOff>526677</xdr:colOff>
      <xdr:row>165</xdr:row>
      <xdr:rowOff>179294</xdr:rowOff>
    </xdr:to>
    <xdr:sp macro="" textlink="">
      <xdr:nvSpPr>
        <xdr:cNvPr id="93" name="Right Triangle 92">
          <a:extLst>
            <a:ext uri="{FF2B5EF4-FFF2-40B4-BE49-F238E27FC236}">
              <a16:creationId xmlns:a16="http://schemas.microsoft.com/office/drawing/2014/main" id="{1ECAA853-1FD4-AF01-F86B-B9451BD1DDF5}"/>
            </a:ext>
          </a:extLst>
        </xdr:cNvPr>
        <xdr:cNvSpPr/>
      </xdr:nvSpPr>
      <xdr:spPr>
        <a:xfrm>
          <a:off x="3036795" y="20260237"/>
          <a:ext cx="1120588" cy="2218763"/>
        </a:xfrm>
        <a:prstGeom prst="r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19050</xdr:colOff>
      <xdr:row>162</xdr:row>
      <xdr:rowOff>0</xdr:rowOff>
    </xdr:from>
    <xdr:to>
      <xdr:col>7</xdr:col>
      <xdr:colOff>533400</xdr:colOff>
      <xdr:row>162</xdr:row>
      <xdr:rowOff>9525</xdr:rowOff>
    </xdr:to>
    <xdr:cxnSp macro="">
      <xdr:nvCxnSpPr>
        <xdr:cNvPr id="11851" name="Straight Arrow Connector 94">
          <a:extLst>
            <a:ext uri="{FF2B5EF4-FFF2-40B4-BE49-F238E27FC236}">
              <a16:creationId xmlns:a16="http://schemas.microsoft.com/office/drawing/2014/main" id="{1C973106-408F-FF22-C6F7-C225A1D7807F}"/>
            </a:ext>
          </a:extLst>
        </xdr:cNvPr>
        <xdr:cNvCxnSpPr>
          <a:cxnSpLocks noChangeShapeType="1"/>
        </xdr:cNvCxnSpPr>
      </xdr:nvCxnSpPr>
      <xdr:spPr bwMode="auto">
        <a:xfrm flipH="1">
          <a:off x="3676650" y="31261050"/>
          <a:ext cx="1123950"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600635</xdr:colOff>
      <xdr:row>159</xdr:row>
      <xdr:rowOff>118781</xdr:rowOff>
    </xdr:from>
    <xdr:to>
      <xdr:col>7</xdr:col>
      <xdr:colOff>141194</xdr:colOff>
      <xdr:row>159</xdr:row>
      <xdr:rowOff>120369</xdr:rowOff>
    </xdr:to>
    <xdr:cxnSp macro="">
      <xdr:nvCxnSpPr>
        <xdr:cNvPr id="96" name="Straight Arrow Connector 95">
          <a:extLst>
            <a:ext uri="{FF2B5EF4-FFF2-40B4-BE49-F238E27FC236}">
              <a16:creationId xmlns:a16="http://schemas.microsoft.com/office/drawing/2014/main" id="{CB4F3A06-04D0-DE96-5B6C-7E8464CCAD52}"/>
            </a:ext>
          </a:extLst>
        </xdr:cNvPr>
        <xdr:cNvCxnSpPr/>
      </xdr:nvCxnSpPr>
      <xdr:spPr>
        <a:xfrm rot="10800000">
          <a:off x="2415988" y="21275487"/>
          <a:ext cx="1355912"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95578</xdr:colOff>
      <xdr:row>154</xdr:row>
      <xdr:rowOff>45616</xdr:rowOff>
    </xdr:from>
    <xdr:to>
      <xdr:col>3</xdr:col>
      <xdr:colOff>97166</xdr:colOff>
      <xdr:row>165</xdr:row>
      <xdr:rowOff>180087</xdr:rowOff>
    </xdr:to>
    <xdr:cxnSp macro="">
      <xdr:nvCxnSpPr>
        <xdr:cNvPr id="98" name="Straight Connector 97">
          <a:extLst>
            <a:ext uri="{FF2B5EF4-FFF2-40B4-BE49-F238E27FC236}">
              <a16:creationId xmlns:a16="http://schemas.microsoft.com/office/drawing/2014/main" id="{06760DF3-B165-ED19-BE26-EEC89361FD3F}"/>
            </a:ext>
          </a:extLst>
        </xdr:cNvPr>
        <xdr:cNvCxnSpPr/>
      </xdr:nvCxnSpPr>
      <xdr:spPr>
        <a:xfrm rot="5400000">
          <a:off x="200586" y="21590933"/>
          <a:ext cx="2229971"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540684</xdr:colOff>
      <xdr:row>154</xdr:row>
      <xdr:rowOff>57712</xdr:rowOff>
    </xdr:from>
    <xdr:to>
      <xdr:col>4</xdr:col>
      <xdr:colOff>578784</xdr:colOff>
      <xdr:row>165</xdr:row>
      <xdr:rowOff>180975</xdr:rowOff>
    </xdr:to>
    <xdr:sp macro="" textlink="">
      <xdr:nvSpPr>
        <xdr:cNvPr id="107" name="Rectangle 106">
          <a:extLst>
            <a:ext uri="{FF2B5EF4-FFF2-40B4-BE49-F238E27FC236}">
              <a16:creationId xmlns:a16="http://schemas.microsoft.com/office/drawing/2014/main" id="{EB13FC8C-5421-7643-A95C-F3588543A8D8}"/>
            </a:ext>
          </a:extLst>
        </xdr:cNvPr>
        <xdr:cNvSpPr/>
      </xdr:nvSpPr>
      <xdr:spPr>
        <a:xfrm>
          <a:off x="1759884" y="20488837"/>
          <a:ext cx="647700" cy="221876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577663</xdr:colOff>
      <xdr:row>159</xdr:row>
      <xdr:rowOff>110937</xdr:rowOff>
    </xdr:from>
    <xdr:to>
      <xdr:col>6</xdr:col>
      <xdr:colOff>118222</xdr:colOff>
      <xdr:row>159</xdr:row>
      <xdr:rowOff>112525</xdr:rowOff>
    </xdr:to>
    <xdr:cxnSp macro="">
      <xdr:nvCxnSpPr>
        <xdr:cNvPr id="108" name="Straight Arrow Connector 107">
          <a:extLst>
            <a:ext uri="{FF2B5EF4-FFF2-40B4-BE49-F238E27FC236}">
              <a16:creationId xmlns:a16="http://schemas.microsoft.com/office/drawing/2014/main" id="{DB62BB60-092A-D163-DA61-CDDACCF5AF4A}"/>
            </a:ext>
          </a:extLst>
        </xdr:cNvPr>
        <xdr:cNvCxnSpPr/>
      </xdr:nvCxnSpPr>
      <xdr:spPr>
        <a:xfrm rot="10800000">
          <a:off x="1796863" y="21494562"/>
          <a:ext cx="1369359"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195</xdr:row>
      <xdr:rowOff>47625</xdr:rowOff>
    </xdr:from>
    <xdr:to>
      <xdr:col>8</xdr:col>
      <xdr:colOff>19050</xdr:colOff>
      <xdr:row>215</xdr:row>
      <xdr:rowOff>190500</xdr:rowOff>
    </xdr:to>
    <xdr:grpSp>
      <xdr:nvGrpSpPr>
        <xdr:cNvPr id="11856" name="Group 104">
          <a:extLst>
            <a:ext uri="{FF2B5EF4-FFF2-40B4-BE49-F238E27FC236}">
              <a16:creationId xmlns:a16="http://schemas.microsoft.com/office/drawing/2014/main" id="{2D7AD009-F3F5-A0CA-A3B4-114EE8B7B63E}"/>
            </a:ext>
          </a:extLst>
        </xdr:cNvPr>
        <xdr:cNvGrpSpPr>
          <a:grpSpLocks/>
        </xdr:cNvGrpSpPr>
      </xdr:nvGrpSpPr>
      <xdr:grpSpPr bwMode="auto">
        <a:xfrm>
          <a:off x="1238250" y="37595175"/>
          <a:ext cx="3657600" cy="3981450"/>
          <a:chOff x="1241117" y="28819914"/>
          <a:chExt cx="2772126" cy="2713243"/>
        </a:xfrm>
      </xdr:grpSpPr>
      <xdr:sp macro="" textlink="">
        <xdr:nvSpPr>
          <xdr:cNvPr id="100" name="Rectangle 99">
            <a:extLst>
              <a:ext uri="{FF2B5EF4-FFF2-40B4-BE49-F238E27FC236}">
                <a16:creationId xmlns:a16="http://schemas.microsoft.com/office/drawing/2014/main" id="{29855382-E5CD-E604-20D6-40D4551EDAE2}"/>
              </a:ext>
            </a:extLst>
          </xdr:cNvPr>
          <xdr:cNvSpPr/>
        </xdr:nvSpPr>
        <xdr:spPr>
          <a:xfrm>
            <a:off x="1241117" y="29040608"/>
            <a:ext cx="2772126" cy="249254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sp macro="" textlink="">
        <xdr:nvSpPr>
          <xdr:cNvPr id="101" name="TextBox 100">
            <a:extLst>
              <a:ext uri="{FF2B5EF4-FFF2-40B4-BE49-F238E27FC236}">
                <a16:creationId xmlns:a16="http://schemas.microsoft.com/office/drawing/2014/main" id="{4BF208BE-1702-8258-117A-D170D13C2885}"/>
              </a:ext>
            </a:extLst>
          </xdr:cNvPr>
          <xdr:cNvSpPr txBox="1"/>
        </xdr:nvSpPr>
        <xdr:spPr>
          <a:xfrm>
            <a:off x="1248336" y="28819914"/>
            <a:ext cx="295982" cy="194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B</a:t>
            </a:r>
          </a:p>
        </xdr:txBody>
      </xdr:sp>
      <xdr:sp macro="" textlink="">
        <xdr:nvSpPr>
          <xdr:cNvPr id="102" name="TextBox 101">
            <a:extLst>
              <a:ext uri="{FF2B5EF4-FFF2-40B4-BE49-F238E27FC236}">
                <a16:creationId xmlns:a16="http://schemas.microsoft.com/office/drawing/2014/main" id="{4ABCE2A0-9C0E-D855-259C-7697964F96AB}"/>
              </a:ext>
            </a:extLst>
          </xdr:cNvPr>
          <xdr:cNvSpPr txBox="1"/>
        </xdr:nvSpPr>
        <xdr:spPr>
          <a:xfrm>
            <a:off x="3688384" y="31234570"/>
            <a:ext cx="303201" cy="272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D</a:t>
            </a:r>
          </a:p>
        </xdr:txBody>
      </xdr:sp>
      <xdr:sp macro="" textlink="">
        <xdr:nvSpPr>
          <xdr:cNvPr id="103" name="TextBox 102">
            <a:extLst>
              <a:ext uri="{FF2B5EF4-FFF2-40B4-BE49-F238E27FC236}">
                <a16:creationId xmlns:a16="http://schemas.microsoft.com/office/drawing/2014/main" id="{7030496B-BB9B-B8D8-2CB6-36E2F7662256}"/>
              </a:ext>
            </a:extLst>
          </xdr:cNvPr>
          <xdr:cNvSpPr txBox="1"/>
        </xdr:nvSpPr>
        <xdr:spPr>
          <a:xfrm>
            <a:off x="3710042" y="28819914"/>
            <a:ext cx="295982" cy="194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C</a:t>
            </a:r>
          </a:p>
        </xdr:txBody>
      </xdr:sp>
      <xdr:sp macro="" textlink="">
        <xdr:nvSpPr>
          <xdr:cNvPr id="104" name="TextBox 103">
            <a:extLst>
              <a:ext uri="{FF2B5EF4-FFF2-40B4-BE49-F238E27FC236}">
                <a16:creationId xmlns:a16="http://schemas.microsoft.com/office/drawing/2014/main" id="{B127F886-F623-4E01-BDB0-28334D82F62C}"/>
              </a:ext>
            </a:extLst>
          </xdr:cNvPr>
          <xdr:cNvSpPr txBox="1"/>
        </xdr:nvSpPr>
        <xdr:spPr>
          <a:xfrm>
            <a:off x="1262774" y="31241061"/>
            <a:ext cx="295982" cy="272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A</a:t>
            </a:r>
          </a:p>
        </xdr:txBody>
      </xdr:sp>
    </xdr:grpSp>
    <xdr:clientData/>
  </xdr:twoCellAnchor>
  <xdr:twoCellAnchor>
    <xdr:from>
      <xdr:col>2</xdr:col>
      <xdr:colOff>19050</xdr:colOff>
      <xdr:row>379</xdr:row>
      <xdr:rowOff>76200</xdr:rowOff>
    </xdr:from>
    <xdr:to>
      <xdr:col>8</xdr:col>
      <xdr:colOff>19050</xdr:colOff>
      <xdr:row>400</xdr:row>
      <xdr:rowOff>0</xdr:rowOff>
    </xdr:to>
    <xdr:grpSp>
      <xdr:nvGrpSpPr>
        <xdr:cNvPr id="11857" name="Group 104">
          <a:extLst>
            <a:ext uri="{FF2B5EF4-FFF2-40B4-BE49-F238E27FC236}">
              <a16:creationId xmlns:a16="http://schemas.microsoft.com/office/drawing/2014/main" id="{2C0EEDA7-AC0B-B167-2F1A-96CA54936C51}"/>
            </a:ext>
          </a:extLst>
        </xdr:cNvPr>
        <xdr:cNvGrpSpPr>
          <a:grpSpLocks/>
        </xdr:cNvGrpSpPr>
      </xdr:nvGrpSpPr>
      <xdr:grpSpPr bwMode="auto">
        <a:xfrm>
          <a:off x="1238250" y="72809100"/>
          <a:ext cx="3657600" cy="3962400"/>
          <a:chOff x="1241117" y="28819914"/>
          <a:chExt cx="2772126" cy="2713243"/>
        </a:xfrm>
      </xdr:grpSpPr>
      <xdr:sp macro="" textlink="">
        <xdr:nvSpPr>
          <xdr:cNvPr id="3" name="Rectangle 152">
            <a:extLst>
              <a:ext uri="{FF2B5EF4-FFF2-40B4-BE49-F238E27FC236}">
                <a16:creationId xmlns:a16="http://schemas.microsoft.com/office/drawing/2014/main" id="{FCEBD8FB-5E12-9DC6-0738-A760F159D567}"/>
              </a:ext>
            </a:extLst>
          </xdr:cNvPr>
          <xdr:cNvSpPr/>
        </xdr:nvSpPr>
        <xdr:spPr>
          <a:xfrm>
            <a:off x="1241117" y="29041669"/>
            <a:ext cx="2772126" cy="249148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sp macro="" textlink="">
        <xdr:nvSpPr>
          <xdr:cNvPr id="4" name="TextBox 153">
            <a:extLst>
              <a:ext uri="{FF2B5EF4-FFF2-40B4-BE49-F238E27FC236}">
                <a16:creationId xmlns:a16="http://schemas.microsoft.com/office/drawing/2014/main" id="{F25573C5-6D6E-8AE0-131F-0057EBAB0A73}"/>
              </a:ext>
            </a:extLst>
          </xdr:cNvPr>
          <xdr:cNvSpPr txBox="1"/>
        </xdr:nvSpPr>
        <xdr:spPr>
          <a:xfrm>
            <a:off x="1248336" y="28819914"/>
            <a:ext cx="295982" cy="195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B</a:t>
            </a:r>
          </a:p>
        </xdr:txBody>
      </xdr:sp>
      <xdr:sp macro="" textlink="">
        <xdr:nvSpPr>
          <xdr:cNvPr id="5" name="TextBox 154">
            <a:extLst>
              <a:ext uri="{FF2B5EF4-FFF2-40B4-BE49-F238E27FC236}">
                <a16:creationId xmlns:a16="http://schemas.microsoft.com/office/drawing/2014/main" id="{BDAD6191-CCCB-35E0-1B77-AFE45DA63BBB}"/>
              </a:ext>
            </a:extLst>
          </xdr:cNvPr>
          <xdr:cNvSpPr txBox="1"/>
        </xdr:nvSpPr>
        <xdr:spPr>
          <a:xfrm>
            <a:off x="3688384" y="31233135"/>
            <a:ext cx="303201" cy="273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D</a:t>
            </a:r>
          </a:p>
        </xdr:txBody>
      </xdr:sp>
      <xdr:sp macro="" textlink="">
        <xdr:nvSpPr>
          <xdr:cNvPr id="6" name="TextBox 155">
            <a:extLst>
              <a:ext uri="{FF2B5EF4-FFF2-40B4-BE49-F238E27FC236}">
                <a16:creationId xmlns:a16="http://schemas.microsoft.com/office/drawing/2014/main" id="{22EFE728-EB87-C46F-F20A-D2E1A62C26C4}"/>
              </a:ext>
            </a:extLst>
          </xdr:cNvPr>
          <xdr:cNvSpPr txBox="1"/>
        </xdr:nvSpPr>
        <xdr:spPr>
          <a:xfrm>
            <a:off x="3710042" y="28819914"/>
            <a:ext cx="295982" cy="195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C</a:t>
            </a:r>
          </a:p>
        </xdr:txBody>
      </xdr:sp>
      <xdr:sp macro="" textlink="">
        <xdr:nvSpPr>
          <xdr:cNvPr id="7" name="TextBox 156">
            <a:extLst>
              <a:ext uri="{FF2B5EF4-FFF2-40B4-BE49-F238E27FC236}">
                <a16:creationId xmlns:a16="http://schemas.microsoft.com/office/drawing/2014/main" id="{375F9620-FD2F-477C-935D-2E267FD0DC8F}"/>
              </a:ext>
            </a:extLst>
          </xdr:cNvPr>
          <xdr:cNvSpPr txBox="1"/>
        </xdr:nvSpPr>
        <xdr:spPr>
          <a:xfrm>
            <a:off x="1262774" y="31239657"/>
            <a:ext cx="295982" cy="273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A</a:t>
            </a:r>
          </a:p>
        </xdr:txBody>
      </xdr:sp>
    </xdr:grpSp>
    <xdr:clientData/>
  </xdr:twoCellAnchor>
  <xdr:twoCellAnchor>
    <xdr:from>
      <xdr:col>2</xdr:col>
      <xdr:colOff>19050</xdr:colOff>
      <xdr:row>287</xdr:row>
      <xdr:rowOff>76200</xdr:rowOff>
    </xdr:from>
    <xdr:to>
      <xdr:col>8</xdr:col>
      <xdr:colOff>19050</xdr:colOff>
      <xdr:row>307</xdr:row>
      <xdr:rowOff>180975</xdr:rowOff>
    </xdr:to>
    <xdr:grpSp>
      <xdr:nvGrpSpPr>
        <xdr:cNvPr id="11858" name="Group 104">
          <a:extLst>
            <a:ext uri="{FF2B5EF4-FFF2-40B4-BE49-F238E27FC236}">
              <a16:creationId xmlns:a16="http://schemas.microsoft.com/office/drawing/2014/main" id="{CEC75506-3E9C-85A8-8B04-1150CA7D942C}"/>
            </a:ext>
          </a:extLst>
        </xdr:cNvPr>
        <xdr:cNvGrpSpPr>
          <a:grpSpLocks/>
        </xdr:cNvGrpSpPr>
      </xdr:nvGrpSpPr>
      <xdr:grpSpPr bwMode="auto">
        <a:xfrm>
          <a:off x="1238250" y="55216425"/>
          <a:ext cx="3657600" cy="3943350"/>
          <a:chOff x="1241117" y="28819914"/>
          <a:chExt cx="2772081" cy="2713243"/>
        </a:xfrm>
      </xdr:grpSpPr>
      <xdr:sp macro="" textlink="" fLocksText="0">
        <xdr:nvSpPr>
          <xdr:cNvPr id="9196" name="Rectangle 184">
            <a:extLst>
              <a:ext uri="{FF2B5EF4-FFF2-40B4-BE49-F238E27FC236}">
                <a16:creationId xmlns:a16="http://schemas.microsoft.com/office/drawing/2014/main" id="{457D7198-B393-746D-1FFB-1E8479F4581C}"/>
              </a:ext>
            </a:extLst>
          </xdr:cNvPr>
          <xdr:cNvSpPr>
            <a:spLocks noChangeArrowheads="1"/>
          </xdr:cNvSpPr>
        </xdr:nvSpPr>
        <xdr:spPr bwMode="auto">
          <a:xfrm>
            <a:off x="1241117" y="29042741"/>
            <a:ext cx="2772081" cy="2490416"/>
          </a:xfrm>
          <a:prstGeom prst="rect">
            <a:avLst/>
          </a:prstGeom>
          <a:noFill/>
          <a:ln w="25400" algn="ctr">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6" name="TextBox 185">
            <a:extLst>
              <a:ext uri="{FF2B5EF4-FFF2-40B4-BE49-F238E27FC236}">
                <a16:creationId xmlns:a16="http://schemas.microsoft.com/office/drawing/2014/main" id="{D09756B3-586A-BDDA-1F4C-BAD9350E4488}"/>
              </a:ext>
            </a:extLst>
          </xdr:cNvPr>
          <xdr:cNvSpPr txBox="1"/>
        </xdr:nvSpPr>
        <xdr:spPr>
          <a:xfrm>
            <a:off x="1248336" y="28819914"/>
            <a:ext cx="295977" cy="1966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B</a:t>
            </a:r>
          </a:p>
        </xdr:txBody>
      </xdr:sp>
      <xdr:sp macro="" textlink="">
        <xdr:nvSpPr>
          <xdr:cNvPr id="187" name="TextBox 186">
            <a:extLst>
              <a:ext uri="{FF2B5EF4-FFF2-40B4-BE49-F238E27FC236}">
                <a16:creationId xmlns:a16="http://schemas.microsoft.com/office/drawing/2014/main" id="{613AF4F1-5D20-FE3D-BB20-A052FA73A077}"/>
              </a:ext>
            </a:extLst>
          </xdr:cNvPr>
          <xdr:cNvSpPr txBox="1"/>
        </xdr:nvSpPr>
        <xdr:spPr>
          <a:xfrm>
            <a:off x="3688345" y="31231686"/>
            <a:ext cx="303196" cy="275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D</a:t>
            </a:r>
          </a:p>
        </xdr:txBody>
      </xdr:sp>
      <xdr:sp macro="" textlink="">
        <xdr:nvSpPr>
          <xdr:cNvPr id="188" name="TextBox 187">
            <a:extLst>
              <a:ext uri="{FF2B5EF4-FFF2-40B4-BE49-F238E27FC236}">
                <a16:creationId xmlns:a16="http://schemas.microsoft.com/office/drawing/2014/main" id="{4AF683EC-1BFB-B1CF-60D8-AF788943C6FC}"/>
              </a:ext>
            </a:extLst>
          </xdr:cNvPr>
          <xdr:cNvSpPr txBox="1"/>
        </xdr:nvSpPr>
        <xdr:spPr>
          <a:xfrm>
            <a:off x="3710002" y="28819914"/>
            <a:ext cx="295977" cy="1966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C</a:t>
            </a:r>
          </a:p>
        </xdr:txBody>
      </xdr:sp>
      <xdr:sp macro="" textlink="">
        <xdr:nvSpPr>
          <xdr:cNvPr id="189" name="TextBox 188">
            <a:extLst>
              <a:ext uri="{FF2B5EF4-FFF2-40B4-BE49-F238E27FC236}">
                <a16:creationId xmlns:a16="http://schemas.microsoft.com/office/drawing/2014/main" id="{E48A3E06-A082-AF15-F273-0802F10CDFF6}"/>
              </a:ext>
            </a:extLst>
          </xdr:cNvPr>
          <xdr:cNvSpPr txBox="1"/>
        </xdr:nvSpPr>
        <xdr:spPr>
          <a:xfrm>
            <a:off x="1262774" y="31238239"/>
            <a:ext cx="295977" cy="2752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A</a:t>
            </a:r>
          </a:p>
        </xdr:txBody>
      </xdr:sp>
    </xdr:grpSp>
    <xdr:clientData/>
  </xdr:twoCellAnchor>
  <xdr:twoCellAnchor>
    <xdr:from>
      <xdr:col>3</xdr:col>
      <xdr:colOff>256760</xdr:colOff>
      <xdr:row>107</xdr:row>
      <xdr:rowOff>165653</xdr:rowOff>
    </xdr:from>
    <xdr:to>
      <xdr:col>4</xdr:col>
      <xdr:colOff>82826</xdr:colOff>
      <xdr:row>109</xdr:row>
      <xdr:rowOff>16316</xdr:rowOff>
    </xdr:to>
    <xdr:sp macro="" textlink="">
      <xdr:nvSpPr>
        <xdr:cNvPr id="147" name="TextBox 146">
          <a:extLst>
            <a:ext uri="{FF2B5EF4-FFF2-40B4-BE49-F238E27FC236}">
              <a16:creationId xmlns:a16="http://schemas.microsoft.com/office/drawing/2014/main" id="{ED55BBE8-8649-5919-E3AE-A23443BD3D90}"/>
            </a:ext>
          </a:extLst>
        </xdr:cNvPr>
        <xdr:cNvSpPr txBox="1"/>
      </xdr:nvSpPr>
      <xdr:spPr>
        <a:xfrm>
          <a:off x="2211456" y="11910392"/>
          <a:ext cx="447261"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kN</a:t>
          </a:r>
        </a:p>
        <a:p>
          <a:endParaRPr lang="en-US" sz="1100"/>
        </a:p>
      </xdr:txBody>
    </xdr:sp>
    <xdr:clientData/>
  </xdr:twoCellAnchor>
  <xdr:twoCellAnchor>
    <xdr:from>
      <xdr:col>5</xdr:col>
      <xdr:colOff>458857</xdr:colOff>
      <xdr:row>107</xdr:row>
      <xdr:rowOff>152400</xdr:rowOff>
    </xdr:from>
    <xdr:to>
      <xdr:col>6</xdr:col>
      <xdr:colOff>152331</xdr:colOff>
      <xdr:row>109</xdr:row>
      <xdr:rowOff>3450</xdr:rowOff>
    </xdr:to>
    <xdr:sp macro="" textlink="">
      <xdr:nvSpPr>
        <xdr:cNvPr id="148" name="TextBox 147">
          <a:extLst>
            <a:ext uri="{FF2B5EF4-FFF2-40B4-BE49-F238E27FC236}">
              <a16:creationId xmlns:a16="http://schemas.microsoft.com/office/drawing/2014/main" id="{E62A909A-3D02-3995-11F6-EADA40EC413C}"/>
            </a:ext>
          </a:extLst>
        </xdr:cNvPr>
        <xdr:cNvSpPr txBox="1"/>
      </xdr:nvSpPr>
      <xdr:spPr>
        <a:xfrm>
          <a:off x="3805031" y="11897139"/>
          <a:ext cx="447261"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kN</a:t>
          </a:r>
        </a:p>
        <a:p>
          <a:endParaRPr lang="en-US" sz="1100"/>
        </a:p>
      </xdr:txBody>
    </xdr:sp>
    <xdr:clientData/>
  </xdr:twoCellAnchor>
  <xdr:twoCellAnchor>
    <xdr:from>
      <xdr:col>4</xdr:col>
      <xdr:colOff>238540</xdr:colOff>
      <xdr:row>109</xdr:row>
      <xdr:rowOff>155712</xdr:rowOff>
    </xdr:from>
    <xdr:to>
      <xdr:col>4</xdr:col>
      <xdr:colOff>604631</xdr:colOff>
      <xdr:row>111</xdr:row>
      <xdr:rowOff>6624</xdr:rowOff>
    </xdr:to>
    <xdr:sp macro="" textlink="">
      <xdr:nvSpPr>
        <xdr:cNvPr id="149" name="TextBox 148">
          <a:extLst>
            <a:ext uri="{FF2B5EF4-FFF2-40B4-BE49-F238E27FC236}">
              <a16:creationId xmlns:a16="http://schemas.microsoft.com/office/drawing/2014/main" id="{580BF8B1-5F33-6308-C46E-AC4999166EDF}"/>
            </a:ext>
          </a:extLst>
        </xdr:cNvPr>
        <xdr:cNvSpPr txBox="1"/>
      </xdr:nvSpPr>
      <xdr:spPr>
        <a:xfrm>
          <a:off x="2814431" y="12090951"/>
          <a:ext cx="366091"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m</a:t>
          </a:r>
        </a:p>
        <a:p>
          <a:endParaRPr lang="en-US" sz="1100"/>
        </a:p>
      </xdr:txBody>
    </xdr:sp>
    <xdr:clientData/>
  </xdr:twoCellAnchor>
  <xdr:twoCellAnchor>
    <xdr:from>
      <xdr:col>3</xdr:col>
      <xdr:colOff>233533</xdr:colOff>
      <xdr:row>109</xdr:row>
      <xdr:rowOff>142461</xdr:rowOff>
    </xdr:from>
    <xdr:to>
      <xdr:col>3</xdr:col>
      <xdr:colOff>599624</xdr:colOff>
      <xdr:row>111</xdr:row>
      <xdr:rowOff>1576</xdr:rowOff>
    </xdr:to>
    <xdr:sp macro="" textlink="">
      <xdr:nvSpPr>
        <xdr:cNvPr id="150" name="TextBox 149">
          <a:extLst>
            <a:ext uri="{FF2B5EF4-FFF2-40B4-BE49-F238E27FC236}">
              <a16:creationId xmlns:a16="http://schemas.microsoft.com/office/drawing/2014/main" id="{A3B0FEEB-5586-9053-8AA9-A95D59D1FB6F}"/>
            </a:ext>
          </a:extLst>
        </xdr:cNvPr>
        <xdr:cNvSpPr txBox="1"/>
      </xdr:nvSpPr>
      <xdr:spPr>
        <a:xfrm>
          <a:off x="2188229" y="12276483"/>
          <a:ext cx="366091"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m</a:t>
          </a:r>
        </a:p>
        <a:p>
          <a:endParaRPr lang="en-US" sz="1100"/>
        </a:p>
      </xdr:txBody>
    </xdr:sp>
    <xdr:clientData/>
  </xdr:twoCellAnchor>
  <xdr:twoCellAnchor>
    <xdr:from>
      <xdr:col>5</xdr:col>
      <xdr:colOff>437697</xdr:colOff>
      <xdr:row>109</xdr:row>
      <xdr:rowOff>145773</xdr:rowOff>
    </xdr:from>
    <xdr:to>
      <xdr:col>6</xdr:col>
      <xdr:colOff>50224</xdr:colOff>
      <xdr:row>111</xdr:row>
      <xdr:rowOff>5244</xdr:rowOff>
    </xdr:to>
    <xdr:sp macro="" textlink="">
      <xdr:nvSpPr>
        <xdr:cNvPr id="151" name="TextBox 150">
          <a:extLst>
            <a:ext uri="{FF2B5EF4-FFF2-40B4-BE49-F238E27FC236}">
              <a16:creationId xmlns:a16="http://schemas.microsoft.com/office/drawing/2014/main" id="{778ED09D-F72E-4B5D-EBEC-E6AE9EAE305C}"/>
            </a:ext>
          </a:extLst>
        </xdr:cNvPr>
        <xdr:cNvSpPr txBox="1"/>
      </xdr:nvSpPr>
      <xdr:spPr>
        <a:xfrm>
          <a:off x="3831496" y="12279795"/>
          <a:ext cx="366091"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m</a:t>
          </a:r>
        </a:p>
        <a:p>
          <a:endParaRPr lang="en-US" sz="1100"/>
        </a:p>
      </xdr:txBody>
    </xdr:sp>
    <xdr:clientData/>
  </xdr:twoCellAnchor>
  <xdr:twoCellAnchor>
    <xdr:from>
      <xdr:col>8</xdr:col>
      <xdr:colOff>283341</xdr:colOff>
      <xdr:row>112</xdr:row>
      <xdr:rowOff>141461</xdr:rowOff>
    </xdr:from>
    <xdr:to>
      <xdr:col>9</xdr:col>
      <xdr:colOff>89854</xdr:colOff>
      <xdr:row>114</xdr:row>
      <xdr:rowOff>656</xdr:rowOff>
    </xdr:to>
    <xdr:sp macro="" textlink="">
      <xdr:nvSpPr>
        <xdr:cNvPr id="152" name="TextBox 151">
          <a:extLst>
            <a:ext uri="{FF2B5EF4-FFF2-40B4-BE49-F238E27FC236}">
              <a16:creationId xmlns:a16="http://schemas.microsoft.com/office/drawing/2014/main" id="{4F2EDC27-F7C3-15EA-AC12-88BCD0A8CCEB}"/>
            </a:ext>
          </a:extLst>
        </xdr:cNvPr>
        <xdr:cNvSpPr txBox="1"/>
      </xdr:nvSpPr>
      <xdr:spPr>
        <a:xfrm>
          <a:off x="5713248" y="13239321"/>
          <a:ext cx="366091"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m</a:t>
          </a:r>
        </a:p>
        <a:p>
          <a:endParaRPr lang="en-US" sz="1100"/>
        </a:p>
      </xdr:txBody>
    </xdr:sp>
    <xdr:clientData/>
  </xdr:twoCellAnchor>
  <xdr:twoCellAnchor>
    <xdr:from>
      <xdr:col>4</xdr:col>
      <xdr:colOff>390525</xdr:colOff>
      <xdr:row>119</xdr:row>
      <xdr:rowOff>152400</xdr:rowOff>
    </xdr:from>
    <xdr:to>
      <xdr:col>5</xdr:col>
      <xdr:colOff>133350</xdr:colOff>
      <xdr:row>121</xdr:row>
      <xdr:rowOff>76200</xdr:rowOff>
    </xdr:to>
    <xdr:sp macro="" textlink="">
      <xdr:nvSpPr>
        <xdr:cNvPr id="9147" name="TextBox 229">
          <a:extLst>
            <a:ext uri="{FF2B5EF4-FFF2-40B4-BE49-F238E27FC236}">
              <a16:creationId xmlns:a16="http://schemas.microsoft.com/office/drawing/2014/main" id="{B5FA5C3F-CDCC-8EAB-55DB-854054D2C358}"/>
            </a:ext>
          </a:extLst>
        </xdr:cNvPr>
        <xdr:cNvSpPr txBox="1">
          <a:spLocks noChangeArrowheads="1"/>
        </xdr:cNvSpPr>
      </xdr:nvSpPr>
      <xdr:spPr bwMode="auto">
        <a:xfrm>
          <a:off x="2371725" y="14230350"/>
          <a:ext cx="361950" cy="304800"/>
        </a:xfrm>
        <a:prstGeom prst="rect">
          <a:avLst/>
        </a:prstGeom>
        <a:noFill/>
        <a:ln>
          <a:noFill/>
        </a:ln>
      </xdr:spPr>
      <xdr:txBody>
        <a:bodyPr vertOverflow="clip" wrap="square" lIns="91440" tIns="45720" rIns="91440" bIns="45720" anchor="t"/>
        <a:lstStyle/>
        <a:p>
          <a:pPr algn="l" rtl="0">
            <a:lnSpc>
              <a:spcPts val="1100"/>
            </a:lnSpc>
            <a:defRPr sz="1000"/>
          </a:pPr>
          <a:r>
            <a:rPr lang="en-AU" sz="1100" b="0" i="0" u="none" strike="noStrike" baseline="0">
              <a:solidFill>
                <a:srgbClr val="000000"/>
              </a:solidFill>
              <a:latin typeface="Calibri"/>
              <a:ea typeface="Calibri"/>
              <a:cs typeface="Calibri"/>
            </a:rPr>
            <a:t>m</a:t>
          </a:r>
        </a:p>
        <a:p>
          <a:pPr algn="l" rtl="0">
            <a:lnSpc>
              <a:spcPts val="1100"/>
            </a:lnSpc>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4</xdr:col>
      <xdr:colOff>438150</xdr:colOff>
      <xdr:row>123</xdr:row>
      <xdr:rowOff>161925</xdr:rowOff>
    </xdr:from>
    <xdr:to>
      <xdr:col>5</xdr:col>
      <xdr:colOff>276225</xdr:colOff>
      <xdr:row>125</xdr:row>
      <xdr:rowOff>161925</xdr:rowOff>
    </xdr:to>
    <xdr:sp macro="" textlink="">
      <xdr:nvSpPr>
        <xdr:cNvPr id="9149" name="TextBox 231">
          <a:extLst>
            <a:ext uri="{FF2B5EF4-FFF2-40B4-BE49-F238E27FC236}">
              <a16:creationId xmlns:a16="http://schemas.microsoft.com/office/drawing/2014/main" id="{1B56D519-0425-74A0-1B3B-C9CA4F051038}"/>
            </a:ext>
          </a:extLst>
        </xdr:cNvPr>
        <xdr:cNvSpPr txBox="1">
          <a:spLocks noChangeArrowheads="1"/>
        </xdr:cNvSpPr>
      </xdr:nvSpPr>
      <xdr:spPr bwMode="auto">
        <a:xfrm>
          <a:off x="2419350" y="15573375"/>
          <a:ext cx="457200" cy="381000"/>
        </a:xfrm>
        <a:prstGeom prst="rect">
          <a:avLst/>
        </a:prstGeom>
        <a:noFill/>
        <a:ln>
          <a:noFill/>
        </a:ln>
      </xdr:spPr>
      <xdr:txBody>
        <a:bodyPr vertOverflow="clip" wrap="square" lIns="91440" tIns="45720" rIns="91440" bIns="45720" anchor="t"/>
        <a:lstStyle/>
        <a:p>
          <a:pPr algn="l" rtl="0">
            <a:lnSpc>
              <a:spcPts val="1100"/>
            </a:lnSpc>
            <a:defRPr sz="1000"/>
          </a:pPr>
          <a:r>
            <a:rPr lang="en-AU" sz="1100" b="0" i="0" u="none" strike="noStrike" baseline="0">
              <a:solidFill>
                <a:srgbClr val="000000"/>
              </a:solidFill>
              <a:latin typeface="Calibri"/>
              <a:ea typeface="Calibri"/>
              <a:cs typeface="Calibri"/>
            </a:rPr>
            <a:t>kN</a:t>
          </a:r>
        </a:p>
        <a:p>
          <a:pPr algn="l" rtl="0">
            <a:lnSpc>
              <a:spcPts val="1100"/>
            </a:lnSpc>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4</xdr:col>
      <xdr:colOff>523875</xdr:colOff>
      <xdr:row>132</xdr:row>
      <xdr:rowOff>142875</xdr:rowOff>
    </xdr:from>
    <xdr:to>
      <xdr:col>5</xdr:col>
      <xdr:colOff>314325</xdr:colOff>
      <xdr:row>134</xdr:row>
      <xdr:rowOff>133350</xdr:rowOff>
    </xdr:to>
    <xdr:sp macro="" textlink="">
      <xdr:nvSpPr>
        <xdr:cNvPr id="9150" name="TextBox 232">
          <a:extLst>
            <a:ext uri="{FF2B5EF4-FFF2-40B4-BE49-F238E27FC236}">
              <a16:creationId xmlns:a16="http://schemas.microsoft.com/office/drawing/2014/main" id="{0A9F4C15-91B0-B05B-5EA1-7010AA45234F}"/>
            </a:ext>
          </a:extLst>
        </xdr:cNvPr>
        <xdr:cNvSpPr txBox="1">
          <a:spLocks noChangeArrowheads="1"/>
        </xdr:cNvSpPr>
      </xdr:nvSpPr>
      <xdr:spPr bwMode="auto">
        <a:xfrm>
          <a:off x="2505075" y="17268825"/>
          <a:ext cx="409575" cy="371475"/>
        </a:xfrm>
        <a:prstGeom prst="rect">
          <a:avLst/>
        </a:prstGeom>
        <a:noFill/>
        <a:ln>
          <a:noFill/>
        </a:ln>
      </xdr:spPr>
      <xdr:txBody>
        <a:bodyPr vertOverflow="clip" wrap="square" lIns="91440" tIns="45720" rIns="91440" bIns="45720" anchor="t"/>
        <a:lstStyle/>
        <a:p>
          <a:pPr algn="l" rtl="0">
            <a:lnSpc>
              <a:spcPts val="1100"/>
            </a:lnSpc>
            <a:defRPr sz="1000"/>
          </a:pPr>
          <a:r>
            <a:rPr lang="en-AU" sz="1100" b="0" i="0" u="none" strike="noStrike" baseline="0">
              <a:solidFill>
                <a:srgbClr val="000000"/>
              </a:solidFill>
              <a:latin typeface="Calibri"/>
              <a:ea typeface="Calibri"/>
              <a:cs typeface="Calibri"/>
            </a:rPr>
            <a:t>m</a:t>
          </a:r>
        </a:p>
        <a:p>
          <a:pPr algn="l" rtl="0">
            <a:lnSpc>
              <a:spcPts val="1100"/>
            </a:lnSpc>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7</xdr:col>
      <xdr:colOff>445593</xdr:colOff>
      <xdr:row>127</xdr:row>
      <xdr:rowOff>146060</xdr:rowOff>
    </xdr:from>
    <xdr:to>
      <xdr:col>8</xdr:col>
      <xdr:colOff>125884</xdr:colOff>
      <xdr:row>129</xdr:row>
      <xdr:rowOff>5255</xdr:rowOff>
    </xdr:to>
    <xdr:sp macro="" textlink="">
      <xdr:nvSpPr>
        <xdr:cNvPr id="234" name="TextBox 233">
          <a:extLst>
            <a:ext uri="{FF2B5EF4-FFF2-40B4-BE49-F238E27FC236}">
              <a16:creationId xmlns:a16="http://schemas.microsoft.com/office/drawing/2014/main" id="{81F7777B-13BA-EC74-4C07-3569A005D426}"/>
            </a:ext>
          </a:extLst>
        </xdr:cNvPr>
        <xdr:cNvSpPr txBox="1"/>
      </xdr:nvSpPr>
      <xdr:spPr>
        <a:xfrm>
          <a:off x="5665950" y="16653870"/>
          <a:ext cx="366091"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m</a:t>
          </a:r>
        </a:p>
        <a:p>
          <a:endParaRPr lang="en-US" sz="1100"/>
        </a:p>
      </xdr:txBody>
    </xdr:sp>
    <xdr:clientData/>
  </xdr:twoCellAnchor>
  <xdr:twoCellAnchor>
    <xdr:from>
      <xdr:col>3</xdr:col>
      <xdr:colOff>87853</xdr:colOff>
      <xdr:row>154</xdr:row>
      <xdr:rowOff>51247</xdr:rowOff>
    </xdr:from>
    <xdr:to>
      <xdr:col>3</xdr:col>
      <xdr:colOff>268567</xdr:colOff>
      <xdr:row>154</xdr:row>
      <xdr:rowOff>54001</xdr:rowOff>
    </xdr:to>
    <xdr:cxnSp macro="">
      <xdr:nvCxnSpPr>
        <xdr:cNvPr id="235" name="Straight Connector 234">
          <a:extLst>
            <a:ext uri="{FF2B5EF4-FFF2-40B4-BE49-F238E27FC236}">
              <a16:creationId xmlns:a16="http://schemas.microsoft.com/office/drawing/2014/main" id="{B2333AF9-B0F8-8A92-C623-B83C5E130388}"/>
            </a:ext>
          </a:extLst>
        </xdr:cNvPr>
        <xdr:cNvCxnSpPr/>
      </xdr:nvCxnSpPr>
      <xdr:spPr>
        <a:xfrm flipV="1">
          <a:off x="1421353" y="22630510"/>
          <a:ext cx="180714" cy="275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27410</xdr:colOff>
      <xdr:row>153</xdr:row>
      <xdr:rowOff>180473</xdr:rowOff>
    </xdr:from>
    <xdr:to>
      <xdr:col>3</xdr:col>
      <xdr:colOff>165435</xdr:colOff>
      <xdr:row>154</xdr:row>
      <xdr:rowOff>120714</xdr:rowOff>
    </xdr:to>
    <xdr:cxnSp macro="">
      <xdr:nvCxnSpPr>
        <xdr:cNvPr id="236" name="Straight Connector 235">
          <a:extLst>
            <a:ext uri="{FF2B5EF4-FFF2-40B4-BE49-F238E27FC236}">
              <a16:creationId xmlns:a16="http://schemas.microsoft.com/office/drawing/2014/main" id="{F1E58B61-7A1D-E4B4-A8FD-7215A67DB6D5}"/>
            </a:ext>
          </a:extLst>
        </xdr:cNvPr>
        <xdr:cNvCxnSpPr/>
      </xdr:nvCxnSpPr>
      <xdr:spPr>
        <a:xfrm rot="10800000" flipV="1">
          <a:off x="1360910" y="22569236"/>
          <a:ext cx="138025" cy="13074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83199</xdr:colOff>
      <xdr:row>165</xdr:row>
      <xdr:rowOff>178720</xdr:rowOff>
    </xdr:from>
    <xdr:to>
      <xdr:col>3</xdr:col>
      <xdr:colOff>263913</xdr:colOff>
      <xdr:row>165</xdr:row>
      <xdr:rowOff>181474</xdr:rowOff>
    </xdr:to>
    <xdr:cxnSp macro="">
      <xdr:nvCxnSpPr>
        <xdr:cNvPr id="237" name="Straight Connector 236">
          <a:extLst>
            <a:ext uri="{FF2B5EF4-FFF2-40B4-BE49-F238E27FC236}">
              <a16:creationId xmlns:a16="http://schemas.microsoft.com/office/drawing/2014/main" id="{3BAE09B6-DF4A-CDF6-8283-FA8FCE0F9B00}"/>
            </a:ext>
          </a:extLst>
        </xdr:cNvPr>
        <xdr:cNvCxnSpPr/>
      </xdr:nvCxnSpPr>
      <xdr:spPr>
        <a:xfrm flipV="1">
          <a:off x="1416699" y="24853483"/>
          <a:ext cx="180714" cy="275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39441</xdr:colOff>
      <xdr:row>165</xdr:row>
      <xdr:rowOff>102267</xdr:rowOff>
    </xdr:from>
    <xdr:to>
      <xdr:col>3</xdr:col>
      <xdr:colOff>177466</xdr:colOff>
      <xdr:row>166</xdr:row>
      <xdr:rowOff>42508</xdr:rowOff>
    </xdr:to>
    <xdr:cxnSp macro="">
      <xdr:nvCxnSpPr>
        <xdr:cNvPr id="239" name="Straight Connector 238">
          <a:extLst>
            <a:ext uri="{FF2B5EF4-FFF2-40B4-BE49-F238E27FC236}">
              <a16:creationId xmlns:a16="http://schemas.microsoft.com/office/drawing/2014/main" id="{16700812-1EAF-02A0-6F00-D28197A1E295}"/>
            </a:ext>
          </a:extLst>
        </xdr:cNvPr>
        <xdr:cNvCxnSpPr/>
      </xdr:nvCxnSpPr>
      <xdr:spPr>
        <a:xfrm rot="10800000" flipV="1">
          <a:off x="1372941" y="24777030"/>
          <a:ext cx="138025" cy="13074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74732</xdr:colOff>
      <xdr:row>159</xdr:row>
      <xdr:rowOff>161882</xdr:rowOff>
    </xdr:from>
    <xdr:to>
      <xdr:col>3</xdr:col>
      <xdr:colOff>442538</xdr:colOff>
      <xdr:row>161</xdr:row>
      <xdr:rowOff>21077</xdr:rowOff>
    </xdr:to>
    <xdr:sp macro="" textlink="">
      <xdr:nvSpPr>
        <xdr:cNvPr id="240" name="TextBox 239">
          <a:extLst>
            <a:ext uri="{FF2B5EF4-FFF2-40B4-BE49-F238E27FC236}">
              <a16:creationId xmlns:a16="http://schemas.microsoft.com/office/drawing/2014/main" id="{23233DAE-5CAB-647B-7133-850E1DF6689A}"/>
            </a:ext>
          </a:extLst>
        </xdr:cNvPr>
        <xdr:cNvSpPr txBox="1"/>
      </xdr:nvSpPr>
      <xdr:spPr>
        <a:xfrm>
          <a:off x="1408232" y="23692773"/>
          <a:ext cx="367806"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m</a:t>
          </a:r>
        </a:p>
        <a:p>
          <a:endParaRPr lang="en-US" sz="1100"/>
        </a:p>
      </xdr:txBody>
    </xdr:sp>
    <xdr:clientData/>
  </xdr:twoCellAnchor>
  <xdr:twoCellAnchor>
    <xdr:from>
      <xdr:col>4</xdr:col>
      <xdr:colOff>400050</xdr:colOff>
      <xdr:row>152</xdr:row>
      <xdr:rowOff>123825</xdr:rowOff>
    </xdr:from>
    <xdr:to>
      <xdr:col>5</xdr:col>
      <xdr:colOff>361950</xdr:colOff>
      <xdr:row>154</xdr:row>
      <xdr:rowOff>57150</xdr:rowOff>
    </xdr:to>
    <xdr:sp macro="" textlink="">
      <xdr:nvSpPr>
        <xdr:cNvPr id="9157" name="TextBox 240">
          <a:extLst>
            <a:ext uri="{FF2B5EF4-FFF2-40B4-BE49-F238E27FC236}">
              <a16:creationId xmlns:a16="http://schemas.microsoft.com/office/drawing/2014/main" id="{28B1DF83-E60F-2C18-3C80-5B2C84CB42BD}"/>
            </a:ext>
          </a:extLst>
        </xdr:cNvPr>
        <xdr:cNvSpPr txBox="1">
          <a:spLocks noChangeArrowheads="1"/>
        </xdr:cNvSpPr>
      </xdr:nvSpPr>
      <xdr:spPr bwMode="auto">
        <a:xfrm>
          <a:off x="2381250" y="21640800"/>
          <a:ext cx="581025" cy="3143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kN/m</a:t>
          </a:r>
          <a:r>
            <a:rPr lang="en-AU" sz="1100" b="0" i="0" u="none" strike="noStrike" baseline="30000">
              <a:solidFill>
                <a:srgbClr val="000000"/>
              </a:solidFill>
              <a:latin typeface="Calibri"/>
              <a:ea typeface="Calibri"/>
              <a:cs typeface="Calibri"/>
            </a:rPr>
            <a:t>2</a:t>
          </a: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5</xdr:col>
      <xdr:colOff>457200</xdr:colOff>
      <xdr:row>152</xdr:row>
      <xdr:rowOff>123825</xdr:rowOff>
    </xdr:from>
    <xdr:to>
      <xdr:col>6</xdr:col>
      <xdr:colOff>266700</xdr:colOff>
      <xdr:row>154</xdr:row>
      <xdr:rowOff>66675</xdr:rowOff>
    </xdr:to>
    <xdr:sp macro="" textlink="">
      <xdr:nvSpPr>
        <xdr:cNvPr id="9158" name="TextBox 243">
          <a:extLst>
            <a:ext uri="{FF2B5EF4-FFF2-40B4-BE49-F238E27FC236}">
              <a16:creationId xmlns:a16="http://schemas.microsoft.com/office/drawing/2014/main" id="{C5C05650-B8ED-7C3C-FC5A-F9DD7BCAD6B9}"/>
            </a:ext>
          </a:extLst>
        </xdr:cNvPr>
        <xdr:cNvSpPr txBox="1">
          <a:spLocks noChangeArrowheads="1"/>
        </xdr:cNvSpPr>
      </xdr:nvSpPr>
      <xdr:spPr bwMode="auto">
        <a:xfrm>
          <a:off x="3057525" y="21640800"/>
          <a:ext cx="581025" cy="323850"/>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kN/m</a:t>
          </a:r>
          <a:r>
            <a:rPr lang="en-AU" sz="1100" b="0" i="0" u="none" strike="noStrike" baseline="30000">
              <a:solidFill>
                <a:srgbClr val="000000"/>
              </a:solidFill>
              <a:latin typeface="Calibri"/>
              <a:ea typeface="Calibri"/>
              <a:cs typeface="Calibri"/>
            </a:rPr>
            <a:t>2</a:t>
          </a: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4</xdr:col>
      <xdr:colOff>400050</xdr:colOff>
      <xdr:row>165</xdr:row>
      <xdr:rowOff>123825</xdr:rowOff>
    </xdr:from>
    <xdr:to>
      <xdr:col>5</xdr:col>
      <xdr:colOff>361950</xdr:colOff>
      <xdr:row>167</xdr:row>
      <xdr:rowOff>95250</xdr:rowOff>
    </xdr:to>
    <xdr:sp macro="" textlink="">
      <xdr:nvSpPr>
        <xdr:cNvPr id="9159" name="TextBox 244">
          <a:extLst>
            <a:ext uri="{FF2B5EF4-FFF2-40B4-BE49-F238E27FC236}">
              <a16:creationId xmlns:a16="http://schemas.microsoft.com/office/drawing/2014/main" id="{1303D835-28B1-705B-AA1F-7335DBBD4564}"/>
            </a:ext>
          </a:extLst>
        </xdr:cNvPr>
        <xdr:cNvSpPr txBox="1">
          <a:spLocks noChangeArrowheads="1"/>
        </xdr:cNvSpPr>
      </xdr:nvSpPr>
      <xdr:spPr bwMode="auto">
        <a:xfrm>
          <a:off x="2381250" y="24117300"/>
          <a:ext cx="581025" cy="3524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kN/m</a:t>
          </a:r>
          <a:r>
            <a:rPr lang="en-AU" sz="1100" b="0" i="0" u="none" strike="noStrike" baseline="30000">
              <a:solidFill>
                <a:srgbClr val="000000"/>
              </a:solidFill>
              <a:latin typeface="Calibri"/>
              <a:ea typeface="Calibri"/>
              <a:cs typeface="Calibri"/>
            </a:rPr>
            <a:t>2</a:t>
          </a: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5</xdr:col>
      <xdr:colOff>457200</xdr:colOff>
      <xdr:row>165</xdr:row>
      <xdr:rowOff>133350</xdr:rowOff>
    </xdr:from>
    <xdr:to>
      <xdr:col>6</xdr:col>
      <xdr:colOff>276225</xdr:colOff>
      <xdr:row>167</xdr:row>
      <xdr:rowOff>114300</xdr:rowOff>
    </xdr:to>
    <xdr:sp macro="" textlink="">
      <xdr:nvSpPr>
        <xdr:cNvPr id="9160" name="TextBox 245">
          <a:extLst>
            <a:ext uri="{FF2B5EF4-FFF2-40B4-BE49-F238E27FC236}">
              <a16:creationId xmlns:a16="http://schemas.microsoft.com/office/drawing/2014/main" id="{FFDC52B5-89E3-649D-48F2-173121D60FA7}"/>
            </a:ext>
          </a:extLst>
        </xdr:cNvPr>
        <xdr:cNvSpPr txBox="1">
          <a:spLocks noChangeArrowheads="1"/>
        </xdr:cNvSpPr>
      </xdr:nvSpPr>
      <xdr:spPr bwMode="auto">
        <a:xfrm>
          <a:off x="3057525" y="24126825"/>
          <a:ext cx="590550" cy="361950"/>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kN/m</a:t>
          </a:r>
          <a:r>
            <a:rPr lang="en-AU" sz="1100" b="0" i="0" u="none" strike="noStrike" baseline="30000">
              <a:solidFill>
                <a:srgbClr val="000000"/>
              </a:solidFill>
              <a:latin typeface="Calibri"/>
              <a:ea typeface="Calibri"/>
              <a:cs typeface="Calibri"/>
            </a:rPr>
            <a:t>2</a:t>
          </a: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6</xdr:col>
      <xdr:colOff>685800</xdr:colOff>
      <xdr:row>165</xdr:row>
      <xdr:rowOff>123825</xdr:rowOff>
    </xdr:from>
    <xdr:to>
      <xdr:col>7</xdr:col>
      <xdr:colOff>514350</xdr:colOff>
      <xdr:row>167</xdr:row>
      <xdr:rowOff>152400</xdr:rowOff>
    </xdr:to>
    <xdr:sp macro="" textlink="">
      <xdr:nvSpPr>
        <xdr:cNvPr id="9161" name="TextBox 246">
          <a:extLst>
            <a:ext uri="{FF2B5EF4-FFF2-40B4-BE49-F238E27FC236}">
              <a16:creationId xmlns:a16="http://schemas.microsoft.com/office/drawing/2014/main" id="{7682560B-8F03-C0F9-4548-0F7DF9A95330}"/>
            </a:ext>
          </a:extLst>
        </xdr:cNvPr>
        <xdr:cNvSpPr txBox="1">
          <a:spLocks noChangeArrowheads="1"/>
        </xdr:cNvSpPr>
      </xdr:nvSpPr>
      <xdr:spPr bwMode="auto">
        <a:xfrm>
          <a:off x="4057650" y="24117300"/>
          <a:ext cx="581025" cy="40957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kN/m</a:t>
          </a:r>
          <a:r>
            <a:rPr lang="en-AU" sz="1100" b="0" i="0" u="none" strike="noStrike" baseline="30000">
              <a:solidFill>
                <a:srgbClr val="000000"/>
              </a:solidFill>
              <a:latin typeface="Calibri"/>
              <a:ea typeface="Calibri"/>
              <a:cs typeface="Calibri"/>
            </a:rPr>
            <a:t>2</a:t>
          </a: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7</xdr:col>
      <xdr:colOff>619125</xdr:colOff>
      <xdr:row>158</xdr:row>
      <xdr:rowOff>114300</xdr:rowOff>
    </xdr:from>
    <xdr:to>
      <xdr:col>8</xdr:col>
      <xdr:colOff>523875</xdr:colOff>
      <xdr:row>160</xdr:row>
      <xdr:rowOff>57150</xdr:rowOff>
    </xdr:to>
    <xdr:sp macro="" textlink="">
      <xdr:nvSpPr>
        <xdr:cNvPr id="9162" name="TextBox 247">
          <a:extLst>
            <a:ext uri="{FF2B5EF4-FFF2-40B4-BE49-F238E27FC236}">
              <a16:creationId xmlns:a16="http://schemas.microsoft.com/office/drawing/2014/main" id="{49DA6C98-0556-3600-E3E0-FE35F2825E62}"/>
            </a:ext>
          </a:extLst>
        </xdr:cNvPr>
        <xdr:cNvSpPr txBox="1">
          <a:spLocks noChangeArrowheads="1"/>
        </xdr:cNvSpPr>
      </xdr:nvSpPr>
      <xdr:spPr bwMode="auto">
        <a:xfrm>
          <a:off x="4743450" y="22774275"/>
          <a:ext cx="590550" cy="323850"/>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kN/m</a:t>
          </a:r>
          <a:endParaRPr lang="en-AU" sz="1100" b="0" i="0" u="none" strike="noStrike" baseline="3000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7</xdr:col>
      <xdr:colOff>676275</xdr:colOff>
      <xdr:row>160</xdr:row>
      <xdr:rowOff>123825</xdr:rowOff>
    </xdr:from>
    <xdr:to>
      <xdr:col>8</xdr:col>
      <xdr:colOff>638175</xdr:colOff>
      <xdr:row>162</xdr:row>
      <xdr:rowOff>76200</xdr:rowOff>
    </xdr:to>
    <xdr:sp macro="" textlink="">
      <xdr:nvSpPr>
        <xdr:cNvPr id="9163" name="TextBox 248">
          <a:extLst>
            <a:ext uri="{FF2B5EF4-FFF2-40B4-BE49-F238E27FC236}">
              <a16:creationId xmlns:a16="http://schemas.microsoft.com/office/drawing/2014/main" id="{765E100E-DA5C-A548-0675-908D6E51546D}"/>
            </a:ext>
          </a:extLst>
        </xdr:cNvPr>
        <xdr:cNvSpPr txBox="1">
          <a:spLocks noChangeArrowheads="1"/>
        </xdr:cNvSpPr>
      </xdr:nvSpPr>
      <xdr:spPr bwMode="auto">
        <a:xfrm>
          <a:off x="4800600" y="23164800"/>
          <a:ext cx="647700" cy="33337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kN/m</a:t>
          </a:r>
          <a:endParaRPr lang="en-AU" sz="1100" b="0" i="0" u="none" strike="noStrike" baseline="3000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4</xdr:col>
      <xdr:colOff>581025</xdr:colOff>
      <xdr:row>157</xdr:row>
      <xdr:rowOff>171450</xdr:rowOff>
    </xdr:from>
    <xdr:to>
      <xdr:col>5</xdr:col>
      <xdr:colOff>552450</xdr:colOff>
      <xdr:row>159</xdr:row>
      <xdr:rowOff>142875</xdr:rowOff>
    </xdr:to>
    <xdr:sp macro="" textlink="">
      <xdr:nvSpPr>
        <xdr:cNvPr id="9164" name="TextBox 249">
          <a:extLst>
            <a:ext uri="{FF2B5EF4-FFF2-40B4-BE49-F238E27FC236}">
              <a16:creationId xmlns:a16="http://schemas.microsoft.com/office/drawing/2014/main" id="{7B719129-74B8-F250-B321-D98EB0CEE131}"/>
            </a:ext>
          </a:extLst>
        </xdr:cNvPr>
        <xdr:cNvSpPr txBox="1">
          <a:spLocks noChangeArrowheads="1"/>
        </xdr:cNvSpPr>
      </xdr:nvSpPr>
      <xdr:spPr bwMode="auto">
        <a:xfrm>
          <a:off x="2562225" y="22640925"/>
          <a:ext cx="590550" cy="352425"/>
        </a:xfrm>
        <a:prstGeom prst="rect">
          <a:avLst/>
        </a:prstGeom>
        <a:noFill/>
        <a:ln>
          <a:noFill/>
        </a:ln>
      </xdr:spPr>
      <xdr:txBody>
        <a:bodyPr vertOverflow="clip" wrap="square" lIns="91440" tIns="45720" rIns="91440" bIns="45720" anchor="t"/>
        <a:lstStyle/>
        <a:p>
          <a:pPr algn="l" rtl="0">
            <a:defRPr sz="1000"/>
          </a:pPr>
          <a:r>
            <a:rPr lang="en-AU" sz="1100" b="0" i="0" u="none" strike="noStrike" baseline="0">
              <a:solidFill>
                <a:srgbClr val="000000"/>
              </a:solidFill>
              <a:latin typeface="Calibri"/>
              <a:ea typeface="Calibri"/>
              <a:cs typeface="Calibri"/>
            </a:rPr>
            <a:t>kN/m</a:t>
          </a:r>
          <a:endParaRPr lang="en-AU" sz="1100" b="0" i="0" u="none" strike="noStrike" baseline="3000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5</xdr:col>
      <xdr:colOff>538554</xdr:colOff>
      <xdr:row>172</xdr:row>
      <xdr:rowOff>161882</xdr:rowOff>
    </xdr:from>
    <xdr:to>
      <xdr:col>6</xdr:col>
      <xdr:colOff>352834</xdr:colOff>
      <xdr:row>174</xdr:row>
      <xdr:rowOff>21077</xdr:rowOff>
    </xdr:to>
    <xdr:sp macro="" textlink="">
      <xdr:nvSpPr>
        <xdr:cNvPr id="251" name="TextBox 250">
          <a:extLst>
            <a:ext uri="{FF2B5EF4-FFF2-40B4-BE49-F238E27FC236}">
              <a16:creationId xmlns:a16="http://schemas.microsoft.com/office/drawing/2014/main" id="{79A9A84B-B3F6-45FB-B315-E3DAEE88072A}"/>
            </a:ext>
          </a:extLst>
        </xdr:cNvPr>
        <xdr:cNvSpPr txBox="1"/>
      </xdr:nvSpPr>
      <xdr:spPr>
        <a:xfrm>
          <a:off x="3114445" y="25597773"/>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900"/>
            </a:lnSpc>
          </a:pPr>
          <a:r>
            <a:rPr lang="en-US" sz="800"/>
            <a:t>kN/m</a:t>
          </a:r>
          <a:r>
            <a:rPr lang="en-US" sz="800" baseline="30000"/>
            <a:t>2</a:t>
          </a:r>
        </a:p>
        <a:p>
          <a:pPr>
            <a:lnSpc>
              <a:spcPts val="900"/>
            </a:lnSpc>
          </a:pPr>
          <a:endParaRPr lang="en-US" sz="800"/>
        </a:p>
        <a:p>
          <a:pPr>
            <a:lnSpc>
              <a:spcPts val="800"/>
            </a:lnSpc>
          </a:pPr>
          <a:endParaRPr lang="en-US" sz="800"/>
        </a:p>
      </xdr:txBody>
    </xdr:sp>
    <xdr:clientData/>
  </xdr:twoCellAnchor>
  <xdr:twoCellAnchor>
    <xdr:from>
      <xdr:col>4</xdr:col>
      <xdr:colOff>552450</xdr:colOff>
      <xdr:row>183</xdr:row>
      <xdr:rowOff>152400</xdr:rowOff>
    </xdr:from>
    <xdr:to>
      <xdr:col>5</xdr:col>
      <xdr:colOff>571500</xdr:colOff>
      <xdr:row>185</xdr:row>
      <xdr:rowOff>142875</xdr:rowOff>
    </xdr:to>
    <xdr:sp macro="" textlink="">
      <xdr:nvSpPr>
        <xdr:cNvPr id="9166" name="TextBox 251">
          <a:extLst>
            <a:ext uri="{FF2B5EF4-FFF2-40B4-BE49-F238E27FC236}">
              <a16:creationId xmlns:a16="http://schemas.microsoft.com/office/drawing/2014/main" id="{D0F0D4A7-8384-EFA5-BE7E-EFCB4310BDB4}"/>
            </a:ext>
          </a:extLst>
        </xdr:cNvPr>
        <xdr:cNvSpPr txBox="1">
          <a:spLocks noChangeArrowheads="1"/>
        </xdr:cNvSpPr>
      </xdr:nvSpPr>
      <xdr:spPr bwMode="auto">
        <a:xfrm>
          <a:off x="2533650" y="27574875"/>
          <a:ext cx="638175" cy="371475"/>
        </a:xfrm>
        <a:prstGeom prst="rect">
          <a:avLst/>
        </a:prstGeom>
        <a:noFill/>
        <a:ln>
          <a:noFill/>
        </a:ln>
      </xdr:spPr>
      <xdr:txBody>
        <a:bodyPr vertOverflow="clip" wrap="square" lIns="91440" tIns="45720" rIns="91440" bIns="45720" anchor="t"/>
        <a:lstStyle/>
        <a:p>
          <a:pPr algn="l" rtl="0">
            <a:lnSpc>
              <a:spcPts val="900"/>
            </a:lnSpc>
            <a:defRPr sz="1000"/>
          </a:pPr>
          <a:r>
            <a:rPr lang="en-AU" sz="800" b="0" i="0" u="none" strike="noStrike" baseline="0">
              <a:solidFill>
                <a:srgbClr val="000000"/>
              </a:solidFill>
              <a:latin typeface="Calibri"/>
              <a:ea typeface="Calibri"/>
              <a:cs typeface="Calibri"/>
            </a:rPr>
            <a:t>kN/m</a:t>
          </a:r>
          <a:r>
            <a:rPr lang="en-AU" sz="800" b="0" i="0" u="none" strike="noStrike" baseline="30000">
              <a:solidFill>
                <a:srgbClr val="000000"/>
              </a:solidFill>
              <a:latin typeface="Calibri"/>
              <a:ea typeface="Calibri"/>
              <a:cs typeface="Calibri"/>
            </a:rPr>
            <a:t>2</a:t>
          </a:r>
        </a:p>
        <a:p>
          <a:pPr algn="l" rtl="0">
            <a:defRPr sz="1000"/>
          </a:pPr>
          <a:endParaRPr lang="en-AU" sz="1100" b="0" i="0" u="none" strike="noStrike" baseline="0">
            <a:solidFill>
              <a:srgbClr val="000000"/>
            </a:solidFill>
            <a:latin typeface="Calibri"/>
            <a:ea typeface="Calibri"/>
            <a:cs typeface="Calibri"/>
          </a:endParaRPr>
        </a:p>
        <a:p>
          <a:pPr algn="l" rtl="0">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1</xdr:col>
      <xdr:colOff>295019</xdr:colOff>
      <xdr:row>182</xdr:row>
      <xdr:rowOff>139932</xdr:rowOff>
    </xdr:from>
    <xdr:to>
      <xdr:col>2</xdr:col>
      <xdr:colOff>158995</xdr:colOff>
      <xdr:row>183</xdr:row>
      <xdr:rowOff>189627</xdr:rowOff>
    </xdr:to>
    <xdr:sp macro="" textlink="">
      <xdr:nvSpPr>
        <xdr:cNvPr id="253" name="TextBox 252">
          <a:extLst>
            <a:ext uri="{FF2B5EF4-FFF2-40B4-BE49-F238E27FC236}">
              <a16:creationId xmlns:a16="http://schemas.microsoft.com/office/drawing/2014/main" id="{B5ECD905-C9B8-C80C-AB35-6DCA291C9D09}"/>
            </a:ext>
          </a:extLst>
        </xdr:cNvPr>
        <xdr:cNvSpPr txBox="1"/>
      </xdr:nvSpPr>
      <xdr:spPr>
        <a:xfrm>
          <a:off x="218819" y="27524307"/>
          <a:ext cx="587876"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2</xdr:col>
      <xdr:colOff>87122</xdr:colOff>
      <xdr:row>182</xdr:row>
      <xdr:rowOff>142003</xdr:rowOff>
    </xdr:from>
    <xdr:to>
      <xdr:col>3</xdr:col>
      <xdr:colOff>58772</xdr:colOff>
      <xdr:row>184</xdr:row>
      <xdr:rowOff>1198</xdr:rowOff>
    </xdr:to>
    <xdr:sp macro="" textlink="">
      <xdr:nvSpPr>
        <xdr:cNvPr id="254" name="TextBox 253">
          <a:extLst>
            <a:ext uri="{FF2B5EF4-FFF2-40B4-BE49-F238E27FC236}">
              <a16:creationId xmlns:a16="http://schemas.microsoft.com/office/drawing/2014/main" id="{37CF048D-9CE5-769A-5270-DF8FE0B99456}"/>
            </a:ext>
          </a:extLst>
        </xdr:cNvPr>
        <xdr:cNvSpPr txBox="1"/>
      </xdr:nvSpPr>
      <xdr:spPr>
        <a:xfrm>
          <a:off x="788659" y="28092494"/>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3</xdr:col>
      <xdr:colOff>157935</xdr:colOff>
      <xdr:row>182</xdr:row>
      <xdr:rowOff>184660</xdr:rowOff>
    </xdr:from>
    <xdr:to>
      <xdr:col>4</xdr:col>
      <xdr:colOff>121302</xdr:colOff>
      <xdr:row>184</xdr:row>
      <xdr:rowOff>43855</xdr:rowOff>
    </xdr:to>
    <xdr:sp macro="" textlink="">
      <xdr:nvSpPr>
        <xdr:cNvPr id="255" name="TextBox 254">
          <a:extLst>
            <a:ext uri="{FF2B5EF4-FFF2-40B4-BE49-F238E27FC236}">
              <a16:creationId xmlns:a16="http://schemas.microsoft.com/office/drawing/2014/main" id="{02A86378-39F6-CD2B-C053-A305B4B1C7E6}"/>
            </a:ext>
          </a:extLst>
        </xdr:cNvPr>
        <xdr:cNvSpPr txBox="1"/>
      </xdr:nvSpPr>
      <xdr:spPr>
        <a:xfrm>
          <a:off x="1491435" y="27530935"/>
          <a:ext cx="582492"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6</xdr:col>
      <xdr:colOff>178664</xdr:colOff>
      <xdr:row>182</xdr:row>
      <xdr:rowOff>149459</xdr:rowOff>
    </xdr:from>
    <xdr:to>
      <xdr:col>7</xdr:col>
      <xdr:colOff>75986</xdr:colOff>
      <xdr:row>184</xdr:row>
      <xdr:rowOff>8654</xdr:rowOff>
    </xdr:to>
    <xdr:sp macro="" textlink="">
      <xdr:nvSpPr>
        <xdr:cNvPr id="256" name="TextBox 255">
          <a:extLst>
            <a:ext uri="{FF2B5EF4-FFF2-40B4-BE49-F238E27FC236}">
              <a16:creationId xmlns:a16="http://schemas.microsoft.com/office/drawing/2014/main" id="{814AD3C4-1E82-22D3-4464-03A8AFF41D6E}"/>
            </a:ext>
          </a:extLst>
        </xdr:cNvPr>
        <xdr:cNvSpPr txBox="1"/>
      </xdr:nvSpPr>
      <xdr:spPr>
        <a:xfrm>
          <a:off x="4230930" y="28080900"/>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1100"/>
        </a:p>
        <a:p>
          <a:endParaRPr lang="en-US" sz="1100"/>
        </a:p>
      </xdr:txBody>
    </xdr:sp>
    <xdr:clientData/>
  </xdr:twoCellAnchor>
  <xdr:twoCellAnchor>
    <xdr:from>
      <xdr:col>7</xdr:col>
      <xdr:colOff>78855</xdr:colOff>
      <xdr:row>182</xdr:row>
      <xdr:rowOff>161054</xdr:rowOff>
    </xdr:from>
    <xdr:to>
      <xdr:col>7</xdr:col>
      <xdr:colOff>663418</xdr:colOff>
      <xdr:row>184</xdr:row>
      <xdr:rowOff>20249</xdr:rowOff>
    </xdr:to>
    <xdr:sp macro="" textlink="">
      <xdr:nvSpPr>
        <xdr:cNvPr id="257" name="TextBox 256">
          <a:extLst>
            <a:ext uri="{FF2B5EF4-FFF2-40B4-BE49-F238E27FC236}">
              <a16:creationId xmlns:a16="http://schemas.microsoft.com/office/drawing/2014/main" id="{F29BDBB2-68A9-59D2-A1E7-003A118CC5F7}"/>
            </a:ext>
          </a:extLst>
        </xdr:cNvPr>
        <xdr:cNvSpPr txBox="1"/>
      </xdr:nvSpPr>
      <xdr:spPr>
        <a:xfrm>
          <a:off x="4847153" y="28092495"/>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1100"/>
        </a:p>
        <a:p>
          <a:endParaRPr lang="en-US" sz="1100"/>
        </a:p>
      </xdr:txBody>
    </xdr:sp>
    <xdr:clientData/>
  </xdr:twoCellAnchor>
  <xdr:twoCellAnchor>
    <xdr:from>
      <xdr:col>8</xdr:col>
      <xdr:colOff>236223</xdr:colOff>
      <xdr:row>182</xdr:row>
      <xdr:rowOff>147803</xdr:rowOff>
    </xdr:from>
    <xdr:to>
      <xdr:col>8</xdr:col>
      <xdr:colOff>769830</xdr:colOff>
      <xdr:row>184</xdr:row>
      <xdr:rowOff>6998</xdr:rowOff>
    </xdr:to>
    <xdr:sp macro="" textlink="">
      <xdr:nvSpPr>
        <xdr:cNvPr id="258" name="TextBox 257">
          <a:extLst>
            <a:ext uri="{FF2B5EF4-FFF2-40B4-BE49-F238E27FC236}">
              <a16:creationId xmlns:a16="http://schemas.microsoft.com/office/drawing/2014/main" id="{F98EB2DC-5362-598C-6320-836D5635D845}"/>
            </a:ext>
          </a:extLst>
        </xdr:cNvPr>
        <xdr:cNvSpPr txBox="1"/>
      </xdr:nvSpPr>
      <xdr:spPr>
        <a:xfrm>
          <a:off x="5760723" y="27532178"/>
          <a:ext cx="581250"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900"/>
            </a:lnSpc>
          </a:pPr>
          <a:r>
            <a:rPr lang="en-US" sz="800"/>
            <a:t>kN/m</a:t>
          </a:r>
          <a:r>
            <a:rPr lang="en-US" sz="800" baseline="30000"/>
            <a:t>2</a:t>
          </a:r>
        </a:p>
        <a:p>
          <a:endParaRPr lang="en-US" sz="1100"/>
        </a:p>
        <a:p>
          <a:pPr>
            <a:lnSpc>
              <a:spcPts val="1100"/>
            </a:lnSpc>
          </a:pPr>
          <a:endParaRPr lang="en-US" sz="1100"/>
        </a:p>
      </xdr:txBody>
    </xdr:sp>
    <xdr:clientData/>
  </xdr:twoCellAnchor>
  <xdr:twoCellAnchor>
    <xdr:from>
      <xdr:col>1</xdr:col>
      <xdr:colOff>305371</xdr:colOff>
      <xdr:row>247</xdr:row>
      <xdr:rowOff>152769</xdr:rowOff>
    </xdr:from>
    <xdr:to>
      <xdr:col>2</xdr:col>
      <xdr:colOff>169347</xdr:colOff>
      <xdr:row>249</xdr:row>
      <xdr:rowOff>11964</xdr:rowOff>
    </xdr:to>
    <xdr:sp macro="" textlink="">
      <xdr:nvSpPr>
        <xdr:cNvPr id="259" name="TextBox 258">
          <a:extLst>
            <a:ext uri="{FF2B5EF4-FFF2-40B4-BE49-F238E27FC236}">
              <a16:creationId xmlns:a16="http://schemas.microsoft.com/office/drawing/2014/main" id="{40CFFD47-9E24-30B3-90D1-822730ABBC8D}"/>
            </a:ext>
          </a:extLst>
        </xdr:cNvPr>
        <xdr:cNvSpPr txBox="1"/>
      </xdr:nvSpPr>
      <xdr:spPr>
        <a:xfrm>
          <a:off x="210121" y="41738919"/>
          <a:ext cx="587876"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2</xdr:col>
      <xdr:colOff>226271</xdr:colOff>
      <xdr:row>247</xdr:row>
      <xdr:rowOff>156083</xdr:rowOff>
    </xdr:from>
    <xdr:to>
      <xdr:col>3</xdr:col>
      <xdr:colOff>197921</xdr:colOff>
      <xdr:row>249</xdr:row>
      <xdr:rowOff>15278</xdr:rowOff>
    </xdr:to>
    <xdr:sp macro="" textlink="">
      <xdr:nvSpPr>
        <xdr:cNvPr id="260" name="TextBox 259">
          <a:extLst>
            <a:ext uri="{FF2B5EF4-FFF2-40B4-BE49-F238E27FC236}">
              <a16:creationId xmlns:a16="http://schemas.microsoft.com/office/drawing/2014/main" id="{DD135AAD-7D34-B4AF-6746-CF1A4843B54A}"/>
            </a:ext>
          </a:extLst>
        </xdr:cNvPr>
        <xdr:cNvSpPr txBox="1"/>
      </xdr:nvSpPr>
      <xdr:spPr>
        <a:xfrm>
          <a:off x="775408" y="42855416"/>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3</xdr:col>
      <xdr:colOff>134335</xdr:colOff>
      <xdr:row>248</xdr:row>
      <xdr:rowOff>130821</xdr:rowOff>
    </xdr:from>
    <xdr:to>
      <xdr:col>4</xdr:col>
      <xdr:colOff>97703</xdr:colOff>
      <xdr:row>249</xdr:row>
      <xdr:rowOff>180516</xdr:rowOff>
    </xdr:to>
    <xdr:sp macro="" textlink="">
      <xdr:nvSpPr>
        <xdr:cNvPr id="261" name="TextBox 260">
          <a:extLst>
            <a:ext uri="{FF2B5EF4-FFF2-40B4-BE49-F238E27FC236}">
              <a16:creationId xmlns:a16="http://schemas.microsoft.com/office/drawing/2014/main" id="{A7B24A27-7A4B-CBA4-B6D0-EB15C9E3217B}"/>
            </a:ext>
          </a:extLst>
        </xdr:cNvPr>
        <xdr:cNvSpPr txBox="1"/>
      </xdr:nvSpPr>
      <xdr:spPr>
        <a:xfrm>
          <a:off x="2012831" y="43049229"/>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4</xdr:col>
      <xdr:colOff>476250</xdr:colOff>
      <xdr:row>248</xdr:row>
      <xdr:rowOff>142875</xdr:rowOff>
    </xdr:from>
    <xdr:to>
      <xdr:col>5</xdr:col>
      <xdr:colOff>495300</xdr:colOff>
      <xdr:row>250</xdr:row>
      <xdr:rowOff>57150</xdr:rowOff>
    </xdr:to>
    <xdr:sp macro="" textlink="">
      <xdr:nvSpPr>
        <xdr:cNvPr id="9176" name="TextBox 261">
          <a:extLst>
            <a:ext uri="{FF2B5EF4-FFF2-40B4-BE49-F238E27FC236}">
              <a16:creationId xmlns:a16="http://schemas.microsoft.com/office/drawing/2014/main" id="{E0A4E7EB-3BB8-BC07-D49C-F68E6CD0399B}"/>
            </a:ext>
          </a:extLst>
        </xdr:cNvPr>
        <xdr:cNvSpPr txBox="1">
          <a:spLocks noChangeArrowheads="1"/>
        </xdr:cNvSpPr>
      </xdr:nvSpPr>
      <xdr:spPr bwMode="auto">
        <a:xfrm>
          <a:off x="2457450" y="41786175"/>
          <a:ext cx="638175" cy="295275"/>
        </a:xfrm>
        <a:prstGeom prst="rect">
          <a:avLst/>
        </a:prstGeom>
        <a:noFill/>
        <a:ln>
          <a:noFill/>
        </a:ln>
      </xdr:spPr>
      <xdr:txBody>
        <a:bodyPr vertOverflow="clip" wrap="square" lIns="91440" tIns="45720" rIns="91440" bIns="45720" anchor="t"/>
        <a:lstStyle/>
        <a:p>
          <a:pPr algn="l" rtl="0">
            <a:lnSpc>
              <a:spcPts val="900"/>
            </a:lnSpc>
            <a:defRPr sz="1000"/>
          </a:pPr>
          <a:r>
            <a:rPr lang="en-AU" sz="800" b="0" i="0" u="none" strike="noStrike" baseline="0">
              <a:solidFill>
                <a:srgbClr val="000000"/>
              </a:solidFill>
              <a:latin typeface="Calibri"/>
              <a:ea typeface="Calibri"/>
              <a:cs typeface="Calibri"/>
            </a:rPr>
            <a:t>kN/m</a:t>
          </a:r>
          <a:r>
            <a:rPr lang="en-AU" sz="800" b="0" i="0" u="none" strike="noStrike" baseline="30000">
              <a:solidFill>
                <a:srgbClr val="000000"/>
              </a:solidFill>
              <a:latin typeface="Calibri"/>
              <a:ea typeface="Calibri"/>
              <a:cs typeface="Calibri"/>
            </a:rPr>
            <a:t>2</a:t>
          </a:r>
        </a:p>
        <a:p>
          <a:pPr algn="l" rtl="0">
            <a:defRPr sz="1000"/>
          </a:pPr>
          <a:endParaRPr lang="en-AU" sz="800" b="0" i="0" u="none" strike="noStrike" baseline="0">
            <a:solidFill>
              <a:srgbClr val="000000"/>
            </a:solidFill>
            <a:latin typeface="Calibri"/>
            <a:ea typeface="Calibri"/>
            <a:cs typeface="Calibri"/>
          </a:endParaRPr>
        </a:p>
        <a:p>
          <a:pPr algn="l" rtl="0">
            <a:lnSpc>
              <a:spcPts val="900"/>
            </a:lnSpc>
            <a:defRPr sz="1000"/>
          </a:pPr>
          <a:endParaRPr lang="en-AU" sz="800" b="0" i="0" u="none" strike="noStrike" baseline="0">
            <a:solidFill>
              <a:srgbClr val="000000"/>
            </a:solidFill>
            <a:latin typeface="Calibri"/>
            <a:ea typeface="Calibri"/>
            <a:cs typeface="Calibri"/>
          </a:endParaRPr>
        </a:p>
      </xdr:txBody>
    </xdr:sp>
    <xdr:clientData/>
  </xdr:twoCellAnchor>
  <xdr:twoCellAnchor>
    <xdr:from>
      <xdr:col>5</xdr:col>
      <xdr:colOff>420083</xdr:colOff>
      <xdr:row>248</xdr:row>
      <xdr:rowOff>148212</xdr:rowOff>
    </xdr:from>
    <xdr:to>
      <xdr:col>6</xdr:col>
      <xdr:colOff>251004</xdr:colOff>
      <xdr:row>250</xdr:row>
      <xdr:rowOff>7407</xdr:rowOff>
    </xdr:to>
    <xdr:sp macro="" textlink="">
      <xdr:nvSpPr>
        <xdr:cNvPr id="263" name="TextBox 262">
          <a:extLst>
            <a:ext uri="{FF2B5EF4-FFF2-40B4-BE49-F238E27FC236}">
              <a16:creationId xmlns:a16="http://schemas.microsoft.com/office/drawing/2014/main" id="{566C1356-15D8-8A2D-2AA1-082684154DC6}"/>
            </a:ext>
          </a:extLst>
        </xdr:cNvPr>
        <xdr:cNvSpPr txBox="1"/>
      </xdr:nvSpPr>
      <xdr:spPr>
        <a:xfrm>
          <a:off x="3709107" y="43047570"/>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900"/>
            </a:lnSpc>
          </a:pPr>
          <a:r>
            <a:rPr lang="en-US" sz="800"/>
            <a:t>kN/m</a:t>
          </a:r>
          <a:r>
            <a:rPr lang="en-US" sz="800" baseline="30000"/>
            <a:t>2</a:t>
          </a:r>
        </a:p>
        <a:p>
          <a:pPr>
            <a:lnSpc>
              <a:spcPts val="900"/>
            </a:lnSpc>
          </a:pPr>
          <a:endParaRPr lang="en-US" sz="800"/>
        </a:p>
        <a:p>
          <a:pPr>
            <a:lnSpc>
              <a:spcPts val="800"/>
            </a:lnSpc>
          </a:pPr>
          <a:endParaRPr lang="en-US" sz="800"/>
        </a:p>
      </xdr:txBody>
    </xdr:sp>
    <xdr:clientData/>
  </xdr:twoCellAnchor>
  <xdr:twoCellAnchor>
    <xdr:from>
      <xdr:col>7</xdr:col>
      <xdr:colOff>231241</xdr:colOff>
      <xdr:row>247</xdr:row>
      <xdr:rowOff>142002</xdr:rowOff>
    </xdr:from>
    <xdr:to>
      <xdr:col>8</xdr:col>
      <xdr:colOff>111147</xdr:colOff>
      <xdr:row>249</xdr:row>
      <xdr:rowOff>1197</xdr:rowOff>
    </xdr:to>
    <xdr:sp macro="" textlink="">
      <xdr:nvSpPr>
        <xdr:cNvPr id="264" name="TextBox 263">
          <a:extLst>
            <a:ext uri="{FF2B5EF4-FFF2-40B4-BE49-F238E27FC236}">
              <a16:creationId xmlns:a16="http://schemas.microsoft.com/office/drawing/2014/main" id="{44F03530-6945-2820-4467-22719A38A036}"/>
            </a:ext>
          </a:extLst>
        </xdr:cNvPr>
        <xdr:cNvSpPr txBox="1"/>
      </xdr:nvSpPr>
      <xdr:spPr>
        <a:xfrm>
          <a:off x="4847139" y="42860385"/>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6</xdr:col>
      <xdr:colOff>175746</xdr:colOff>
      <xdr:row>247</xdr:row>
      <xdr:rowOff>147798</xdr:rowOff>
    </xdr:from>
    <xdr:to>
      <xdr:col>7</xdr:col>
      <xdr:colOff>71989</xdr:colOff>
      <xdr:row>249</xdr:row>
      <xdr:rowOff>6993</xdr:rowOff>
    </xdr:to>
    <xdr:sp macro="" textlink="">
      <xdr:nvSpPr>
        <xdr:cNvPr id="265" name="TextBox 264">
          <a:extLst>
            <a:ext uri="{FF2B5EF4-FFF2-40B4-BE49-F238E27FC236}">
              <a16:creationId xmlns:a16="http://schemas.microsoft.com/office/drawing/2014/main" id="{313A6D92-A363-231F-17F1-1677E12D70EF}"/>
            </a:ext>
          </a:extLst>
        </xdr:cNvPr>
        <xdr:cNvSpPr txBox="1"/>
      </xdr:nvSpPr>
      <xdr:spPr>
        <a:xfrm>
          <a:off x="4261971" y="41752998"/>
          <a:ext cx="582906"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3</xdr:col>
      <xdr:colOff>191053</xdr:colOff>
      <xdr:row>247</xdr:row>
      <xdr:rowOff>140280</xdr:rowOff>
    </xdr:from>
    <xdr:to>
      <xdr:col>4</xdr:col>
      <xdr:colOff>154420</xdr:colOff>
      <xdr:row>248</xdr:row>
      <xdr:rowOff>189975</xdr:rowOff>
    </xdr:to>
    <xdr:sp macro="" textlink="">
      <xdr:nvSpPr>
        <xdr:cNvPr id="266" name="TextBox 265">
          <a:extLst>
            <a:ext uri="{FF2B5EF4-FFF2-40B4-BE49-F238E27FC236}">
              <a16:creationId xmlns:a16="http://schemas.microsoft.com/office/drawing/2014/main" id="{BA960E9A-8568-EC57-6F43-2D1597059E28}"/>
            </a:ext>
          </a:extLst>
        </xdr:cNvPr>
        <xdr:cNvSpPr txBox="1"/>
      </xdr:nvSpPr>
      <xdr:spPr>
        <a:xfrm>
          <a:off x="1467403" y="41745480"/>
          <a:ext cx="582492"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1</xdr:col>
      <xdr:colOff>200025</xdr:colOff>
      <xdr:row>238</xdr:row>
      <xdr:rowOff>0</xdr:rowOff>
    </xdr:from>
    <xdr:to>
      <xdr:col>8</xdr:col>
      <xdr:colOff>495300</xdr:colOff>
      <xdr:row>247</xdr:row>
      <xdr:rowOff>171450</xdr:rowOff>
    </xdr:to>
    <xdr:grpSp>
      <xdr:nvGrpSpPr>
        <xdr:cNvPr id="11898" name="Group 8263">
          <a:extLst>
            <a:ext uri="{FF2B5EF4-FFF2-40B4-BE49-F238E27FC236}">
              <a16:creationId xmlns:a16="http://schemas.microsoft.com/office/drawing/2014/main" id="{30EE39FC-0414-C217-A132-AAD25F593514}"/>
            </a:ext>
          </a:extLst>
        </xdr:cNvPr>
        <xdr:cNvGrpSpPr>
          <a:grpSpLocks/>
        </xdr:cNvGrpSpPr>
      </xdr:nvGrpSpPr>
      <xdr:grpSpPr bwMode="auto">
        <a:xfrm>
          <a:off x="809625" y="45805725"/>
          <a:ext cx="4562475" cy="1885950"/>
          <a:chOff x="4" y="4204"/>
          <a:chExt cx="618" cy="235"/>
        </a:xfrm>
      </xdr:grpSpPr>
      <xdr:sp macro="" textlink="">
        <xdr:nvSpPr>
          <xdr:cNvPr id="9099" name="TextBox 116">
            <a:extLst>
              <a:ext uri="{FF2B5EF4-FFF2-40B4-BE49-F238E27FC236}">
                <a16:creationId xmlns:a16="http://schemas.microsoft.com/office/drawing/2014/main" id="{79414FC8-D57E-737F-C052-491CE3D49BF6}"/>
              </a:ext>
            </a:extLst>
          </xdr:cNvPr>
          <xdr:cNvSpPr txBox="1">
            <a:spLocks noChangeArrowheads="1"/>
          </xdr:cNvSpPr>
        </xdr:nvSpPr>
        <xdr:spPr bwMode="auto">
          <a:xfrm>
            <a:off x="198" y="4216"/>
            <a:ext cx="37" cy="30"/>
          </a:xfrm>
          <a:prstGeom prst="rect">
            <a:avLst/>
          </a:prstGeom>
          <a:solidFill>
            <a:srgbClr val="FFFFFF"/>
          </a:solidFill>
          <a:ln w="9525">
            <a:solidFill>
              <a:srgbClr val="BCBCBC"/>
            </a:solidFill>
            <a:miter lim="800000"/>
            <a:headEnd/>
            <a:tailEnd/>
          </a:ln>
        </xdr:spPr>
        <xdr:txBody>
          <a:bodyPr vertOverflow="clip" wrap="square" lIns="91440" tIns="45720" rIns="91440" bIns="45720" anchor="t"/>
          <a:lstStyle/>
          <a:p>
            <a:pPr algn="l" rtl="0">
              <a:defRPr sz="1000"/>
            </a:pPr>
            <a:r>
              <a:rPr lang="en-AU" sz="800" b="1" i="0" u="none" strike="noStrike" baseline="0">
                <a:solidFill>
                  <a:srgbClr val="000000"/>
                </a:solidFill>
                <a:latin typeface="Calibri"/>
                <a:ea typeface="Calibri"/>
                <a:cs typeface="Calibri"/>
              </a:rPr>
              <a:t>B</a:t>
            </a:r>
          </a:p>
        </xdr:txBody>
      </xdr:sp>
      <xdr:sp macro="" textlink="">
        <xdr:nvSpPr>
          <xdr:cNvPr id="9100" name="TextBox 117">
            <a:extLst>
              <a:ext uri="{FF2B5EF4-FFF2-40B4-BE49-F238E27FC236}">
                <a16:creationId xmlns:a16="http://schemas.microsoft.com/office/drawing/2014/main" id="{51BB1AF5-479A-468F-6F06-AFF559B748BC}"/>
              </a:ext>
            </a:extLst>
          </xdr:cNvPr>
          <xdr:cNvSpPr txBox="1">
            <a:spLocks noChangeArrowheads="1"/>
          </xdr:cNvSpPr>
        </xdr:nvSpPr>
        <xdr:spPr bwMode="auto">
          <a:xfrm>
            <a:off x="394" y="4397"/>
            <a:ext cx="35" cy="26"/>
          </a:xfrm>
          <a:prstGeom prst="rect">
            <a:avLst/>
          </a:prstGeom>
          <a:solidFill>
            <a:srgbClr val="FFFFFF"/>
          </a:solidFill>
          <a:ln w="9525">
            <a:solidFill>
              <a:srgbClr val="BCBCBC"/>
            </a:solidFill>
            <a:miter lim="800000"/>
            <a:headEnd/>
            <a:tailEnd/>
          </a:ln>
        </xdr:spPr>
        <xdr:txBody>
          <a:bodyPr vertOverflow="clip" wrap="square" lIns="91440" tIns="45720" rIns="91440" bIns="45720" anchor="t"/>
          <a:lstStyle/>
          <a:p>
            <a:pPr algn="l" rtl="0">
              <a:defRPr sz="1000"/>
            </a:pPr>
            <a:r>
              <a:rPr lang="en-AU" sz="800" b="1" i="0" u="none" strike="noStrike" baseline="0">
                <a:solidFill>
                  <a:srgbClr val="000000"/>
                </a:solidFill>
                <a:latin typeface="Calibri"/>
                <a:ea typeface="Calibri"/>
                <a:cs typeface="Calibri"/>
              </a:rPr>
              <a:t>D</a:t>
            </a:r>
          </a:p>
        </xdr:txBody>
      </xdr:sp>
      <xdr:sp macro="" textlink="">
        <xdr:nvSpPr>
          <xdr:cNvPr id="9101" name="TextBox 118">
            <a:extLst>
              <a:ext uri="{FF2B5EF4-FFF2-40B4-BE49-F238E27FC236}">
                <a16:creationId xmlns:a16="http://schemas.microsoft.com/office/drawing/2014/main" id="{BB036524-D967-9428-26A8-54A4BA0E0C16}"/>
              </a:ext>
            </a:extLst>
          </xdr:cNvPr>
          <xdr:cNvSpPr txBox="1">
            <a:spLocks noChangeArrowheads="1"/>
          </xdr:cNvSpPr>
        </xdr:nvSpPr>
        <xdr:spPr bwMode="auto">
          <a:xfrm>
            <a:off x="390" y="4218"/>
            <a:ext cx="36" cy="27"/>
          </a:xfrm>
          <a:prstGeom prst="rect">
            <a:avLst/>
          </a:prstGeom>
          <a:solidFill>
            <a:srgbClr val="FFFFFF"/>
          </a:solidFill>
          <a:ln w="9525">
            <a:solidFill>
              <a:srgbClr val="BCBCBC"/>
            </a:solidFill>
            <a:miter lim="800000"/>
            <a:headEnd/>
            <a:tailEnd/>
          </a:ln>
        </xdr:spPr>
        <xdr:txBody>
          <a:bodyPr vertOverflow="clip" wrap="square" lIns="91440" tIns="45720" rIns="91440" bIns="45720" anchor="t"/>
          <a:lstStyle/>
          <a:p>
            <a:pPr algn="l" rtl="0">
              <a:defRPr sz="1000"/>
            </a:pPr>
            <a:r>
              <a:rPr lang="en-AU" sz="800" b="1" i="0" u="none" strike="noStrike" baseline="0">
                <a:solidFill>
                  <a:srgbClr val="000000"/>
                </a:solidFill>
                <a:latin typeface="Calibri"/>
                <a:ea typeface="Calibri"/>
                <a:cs typeface="Calibri"/>
              </a:rPr>
              <a:t>C</a:t>
            </a:r>
          </a:p>
        </xdr:txBody>
      </xdr:sp>
      <xdr:sp macro="" textlink="">
        <xdr:nvSpPr>
          <xdr:cNvPr id="9102" name="TextBox 119">
            <a:extLst>
              <a:ext uri="{FF2B5EF4-FFF2-40B4-BE49-F238E27FC236}">
                <a16:creationId xmlns:a16="http://schemas.microsoft.com/office/drawing/2014/main" id="{15654626-E268-AD94-3EF3-2A36539ED84E}"/>
              </a:ext>
            </a:extLst>
          </xdr:cNvPr>
          <xdr:cNvSpPr txBox="1">
            <a:spLocks noChangeArrowheads="1"/>
          </xdr:cNvSpPr>
        </xdr:nvSpPr>
        <xdr:spPr bwMode="auto">
          <a:xfrm>
            <a:off x="198" y="4397"/>
            <a:ext cx="37" cy="26"/>
          </a:xfrm>
          <a:prstGeom prst="rect">
            <a:avLst/>
          </a:prstGeom>
          <a:solidFill>
            <a:srgbClr val="FFFFFF"/>
          </a:solidFill>
          <a:ln w="9525">
            <a:solidFill>
              <a:srgbClr val="BCBCBC"/>
            </a:solidFill>
            <a:miter lim="800000"/>
            <a:headEnd/>
            <a:tailEnd/>
          </a:ln>
        </xdr:spPr>
        <xdr:txBody>
          <a:bodyPr vertOverflow="clip" wrap="square" lIns="91440" tIns="45720" rIns="91440" bIns="45720" anchor="t"/>
          <a:lstStyle/>
          <a:p>
            <a:pPr algn="l" rtl="0">
              <a:defRPr sz="1000"/>
            </a:pPr>
            <a:r>
              <a:rPr lang="en-AU" sz="800" b="1" i="0" u="none" strike="noStrike" baseline="0">
                <a:solidFill>
                  <a:srgbClr val="000000"/>
                </a:solidFill>
                <a:latin typeface="Calibri"/>
                <a:ea typeface="Calibri"/>
                <a:cs typeface="Calibri"/>
              </a:rPr>
              <a:t>A</a:t>
            </a:r>
          </a:p>
        </xdr:txBody>
      </xdr:sp>
      <xdr:grpSp>
        <xdr:nvGrpSpPr>
          <xdr:cNvPr id="12021" name="Group 8262">
            <a:extLst>
              <a:ext uri="{FF2B5EF4-FFF2-40B4-BE49-F238E27FC236}">
                <a16:creationId xmlns:a16="http://schemas.microsoft.com/office/drawing/2014/main" id="{AB817FD1-7D90-33BA-D886-42573B97AA3B}"/>
              </a:ext>
            </a:extLst>
          </xdr:cNvPr>
          <xdr:cNvGrpSpPr>
            <a:grpSpLocks/>
          </xdr:cNvGrpSpPr>
        </xdr:nvGrpSpPr>
        <xdr:grpSpPr bwMode="auto">
          <a:xfrm>
            <a:off x="4" y="4204"/>
            <a:ext cx="618" cy="235"/>
            <a:chOff x="4" y="4204"/>
            <a:chExt cx="618" cy="235"/>
          </a:xfrm>
        </xdr:grpSpPr>
        <xdr:sp macro="" textlink="">
          <xdr:nvSpPr>
            <xdr:cNvPr id="12022" name="Rectangle 108">
              <a:extLst>
                <a:ext uri="{FF2B5EF4-FFF2-40B4-BE49-F238E27FC236}">
                  <a16:creationId xmlns:a16="http://schemas.microsoft.com/office/drawing/2014/main" id="{55101E9A-8388-6AD4-3D6C-40BB2097CB15}"/>
                </a:ext>
              </a:extLst>
            </xdr:cNvPr>
            <xdr:cNvSpPr>
              <a:spLocks noChangeArrowheads="1"/>
            </xdr:cNvSpPr>
          </xdr:nvSpPr>
          <xdr:spPr bwMode="auto">
            <a:xfrm>
              <a:off x="198" y="4204"/>
              <a:ext cx="230" cy="11"/>
            </a:xfrm>
            <a:prstGeom prst="rect">
              <a:avLst/>
            </a:prstGeom>
            <a:solidFill>
              <a:srgbClr val="BFBFBF"/>
            </a:solidFill>
            <a:ln w="25400" algn="ctr">
              <a:solidFill>
                <a:srgbClr val="000000"/>
              </a:solidFill>
              <a:miter lim="800000"/>
              <a:headEnd/>
              <a:tailEnd/>
            </a:ln>
          </xdr:spPr>
        </xdr:sp>
        <xdr:sp macro="" textlink="">
          <xdr:nvSpPr>
            <xdr:cNvPr id="12023" name="Rectangle 109">
              <a:extLst>
                <a:ext uri="{FF2B5EF4-FFF2-40B4-BE49-F238E27FC236}">
                  <a16:creationId xmlns:a16="http://schemas.microsoft.com/office/drawing/2014/main" id="{AD70CE43-3904-A68E-EFD7-3FB091B44B9C}"/>
                </a:ext>
              </a:extLst>
            </xdr:cNvPr>
            <xdr:cNvSpPr>
              <a:spLocks noChangeArrowheads="1"/>
            </xdr:cNvSpPr>
          </xdr:nvSpPr>
          <xdr:spPr bwMode="auto">
            <a:xfrm>
              <a:off x="198" y="4428"/>
              <a:ext cx="230" cy="11"/>
            </a:xfrm>
            <a:prstGeom prst="rect">
              <a:avLst/>
            </a:prstGeom>
            <a:solidFill>
              <a:srgbClr val="BFBFBF"/>
            </a:solidFill>
            <a:ln w="25400" algn="ctr">
              <a:solidFill>
                <a:srgbClr val="000000"/>
              </a:solidFill>
              <a:miter lim="800000"/>
              <a:headEnd/>
              <a:tailEnd/>
            </a:ln>
          </xdr:spPr>
        </xdr:sp>
        <xdr:sp macro="" textlink="">
          <xdr:nvSpPr>
            <xdr:cNvPr id="12024" name="Rectangle 110">
              <a:extLst>
                <a:ext uri="{FF2B5EF4-FFF2-40B4-BE49-F238E27FC236}">
                  <a16:creationId xmlns:a16="http://schemas.microsoft.com/office/drawing/2014/main" id="{73207550-5A42-F756-CD7D-E8D59D53E2CA}"/>
                </a:ext>
              </a:extLst>
            </xdr:cNvPr>
            <xdr:cNvSpPr>
              <a:spLocks noChangeArrowheads="1"/>
            </xdr:cNvSpPr>
          </xdr:nvSpPr>
          <xdr:spPr bwMode="auto">
            <a:xfrm>
              <a:off x="128" y="4214"/>
              <a:ext cx="68" cy="213"/>
            </a:xfrm>
            <a:prstGeom prst="rect">
              <a:avLst/>
            </a:prstGeom>
            <a:solidFill>
              <a:srgbClr val="BFBFBF"/>
            </a:solidFill>
            <a:ln w="25400" algn="ctr">
              <a:solidFill>
                <a:srgbClr val="000000"/>
              </a:solidFill>
              <a:miter lim="800000"/>
              <a:headEnd/>
              <a:tailEnd/>
            </a:ln>
          </xdr:spPr>
        </xdr:sp>
        <xdr:sp macro="" textlink="">
          <xdr:nvSpPr>
            <xdr:cNvPr id="12025" name="Right Triangle 112">
              <a:extLst>
                <a:ext uri="{FF2B5EF4-FFF2-40B4-BE49-F238E27FC236}">
                  <a16:creationId xmlns:a16="http://schemas.microsoft.com/office/drawing/2014/main" id="{A35C8F36-AB3F-4F96-D079-4CE2DF42032C}"/>
                </a:ext>
              </a:extLst>
            </xdr:cNvPr>
            <xdr:cNvSpPr>
              <a:spLocks noChangeArrowheads="1"/>
            </xdr:cNvSpPr>
          </xdr:nvSpPr>
          <xdr:spPr bwMode="auto">
            <a:xfrm>
              <a:off x="553" y="4222"/>
              <a:ext cx="69" cy="206"/>
            </a:xfrm>
            <a:prstGeom prst="rtTriangle">
              <a:avLst/>
            </a:prstGeom>
            <a:solidFill>
              <a:srgbClr val="F2F2F2"/>
            </a:solidFill>
            <a:ln w="25400" algn="ctr">
              <a:solidFill>
                <a:srgbClr val="000000"/>
              </a:solidFill>
              <a:miter lim="800000"/>
              <a:headEnd/>
              <a:tailEnd/>
            </a:ln>
          </xdr:spPr>
        </xdr:sp>
        <xdr:sp macro="" textlink="">
          <xdr:nvSpPr>
            <xdr:cNvPr id="12026" name="Right Triangle 113">
              <a:extLst>
                <a:ext uri="{FF2B5EF4-FFF2-40B4-BE49-F238E27FC236}">
                  <a16:creationId xmlns:a16="http://schemas.microsoft.com/office/drawing/2014/main" id="{B8253A39-23A4-1D31-1BA8-BC766FDA83C7}"/>
                </a:ext>
              </a:extLst>
            </xdr:cNvPr>
            <xdr:cNvSpPr>
              <a:spLocks noChangeArrowheads="1"/>
            </xdr:cNvSpPr>
          </xdr:nvSpPr>
          <xdr:spPr bwMode="auto">
            <a:xfrm flipH="1">
              <a:off x="4" y="4222"/>
              <a:ext cx="63" cy="205"/>
            </a:xfrm>
            <a:prstGeom prst="rtTriangle">
              <a:avLst/>
            </a:prstGeom>
            <a:solidFill>
              <a:srgbClr val="F2F2F2"/>
            </a:solidFill>
            <a:ln w="25400" algn="ctr">
              <a:solidFill>
                <a:srgbClr val="000000"/>
              </a:solidFill>
              <a:miter lim="800000"/>
              <a:headEnd/>
              <a:tailEnd/>
            </a:ln>
          </xdr:spPr>
        </xdr:sp>
        <xdr:sp macro="" textlink="">
          <xdr:nvSpPr>
            <xdr:cNvPr id="12027" name="Rectangle 114">
              <a:extLst>
                <a:ext uri="{FF2B5EF4-FFF2-40B4-BE49-F238E27FC236}">
                  <a16:creationId xmlns:a16="http://schemas.microsoft.com/office/drawing/2014/main" id="{D5B6740C-EE28-01F1-71DC-7699215090F6}"/>
                </a:ext>
              </a:extLst>
            </xdr:cNvPr>
            <xdr:cNvSpPr>
              <a:spLocks noChangeArrowheads="1"/>
            </xdr:cNvSpPr>
          </xdr:nvSpPr>
          <xdr:spPr bwMode="auto">
            <a:xfrm>
              <a:off x="67" y="4215"/>
              <a:ext cx="61" cy="212"/>
            </a:xfrm>
            <a:prstGeom prst="rect">
              <a:avLst/>
            </a:prstGeom>
            <a:solidFill>
              <a:srgbClr val="BFBFBF"/>
            </a:solidFill>
            <a:ln w="25400" algn="ctr">
              <a:solidFill>
                <a:srgbClr val="000000"/>
              </a:solidFill>
              <a:miter lim="800000"/>
              <a:headEnd/>
              <a:tailEnd/>
            </a:ln>
          </xdr:spPr>
        </xdr:sp>
        <xdr:sp macro="" textlink="">
          <xdr:nvSpPr>
            <xdr:cNvPr id="12028" name="Right Triangle 121">
              <a:extLst>
                <a:ext uri="{FF2B5EF4-FFF2-40B4-BE49-F238E27FC236}">
                  <a16:creationId xmlns:a16="http://schemas.microsoft.com/office/drawing/2014/main" id="{054D0E64-338C-0C92-97B4-471D07D0A36C}"/>
                </a:ext>
              </a:extLst>
            </xdr:cNvPr>
            <xdr:cNvSpPr>
              <a:spLocks noChangeArrowheads="1"/>
            </xdr:cNvSpPr>
          </xdr:nvSpPr>
          <xdr:spPr bwMode="auto">
            <a:xfrm>
              <a:off x="198" y="4218"/>
              <a:ext cx="77" cy="210"/>
            </a:xfrm>
            <a:prstGeom prst="rtTriangle">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029" name="Right Triangle 122">
              <a:extLst>
                <a:ext uri="{FF2B5EF4-FFF2-40B4-BE49-F238E27FC236}">
                  <a16:creationId xmlns:a16="http://schemas.microsoft.com/office/drawing/2014/main" id="{F6C69F12-324B-A126-9F22-9FF7F35D69DF}"/>
                </a:ext>
              </a:extLst>
            </xdr:cNvPr>
            <xdr:cNvSpPr>
              <a:spLocks noChangeArrowheads="1"/>
            </xdr:cNvSpPr>
          </xdr:nvSpPr>
          <xdr:spPr bwMode="auto">
            <a:xfrm flipH="1">
              <a:off x="352" y="4216"/>
              <a:ext cx="76" cy="212"/>
            </a:xfrm>
            <a:prstGeom prst="rtTriangle">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030" name="Rectangle 266">
              <a:extLst>
                <a:ext uri="{FF2B5EF4-FFF2-40B4-BE49-F238E27FC236}">
                  <a16:creationId xmlns:a16="http://schemas.microsoft.com/office/drawing/2014/main" id="{D8B29D23-58A9-0009-609C-8AD9C3728A8A}"/>
                </a:ext>
              </a:extLst>
            </xdr:cNvPr>
            <xdr:cNvSpPr>
              <a:spLocks noChangeArrowheads="1"/>
            </xdr:cNvSpPr>
          </xdr:nvSpPr>
          <xdr:spPr bwMode="auto">
            <a:xfrm>
              <a:off x="428" y="4215"/>
              <a:ext cx="65" cy="213"/>
            </a:xfrm>
            <a:prstGeom prst="rect">
              <a:avLst/>
            </a:prstGeom>
            <a:solidFill>
              <a:srgbClr val="BFBFBF"/>
            </a:solidFill>
            <a:ln w="25400" algn="ctr">
              <a:solidFill>
                <a:srgbClr val="000000"/>
              </a:solidFill>
              <a:miter lim="800000"/>
              <a:headEnd/>
              <a:tailEnd/>
            </a:ln>
          </xdr:spPr>
        </xdr:sp>
        <xdr:sp macro="" textlink="">
          <xdr:nvSpPr>
            <xdr:cNvPr id="12031" name="Rectangle 267">
              <a:extLst>
                <a:ext uri="{FF2B5EF4-FFF2-40B4-BE49-F238E27FC236}">
                  <a16:creationId xmlns:a16="http://schemas.microsoft.com/office/drawing/2014/main" id="{D08F8F6B-C97C-177F-500B-B81883F62CFA}"/>
                </a:ext>
              </a:extLst>
            </xdr:cNvPr>
            <xdr:cNvSpPr>
              <a:spLocks noChangeArrowheads="1"/>
            </xdr:cNvSpPr>
          </xdr:nvSpPr>
          <xdr:spPr bwMode="auto">
            <a:xfrm>
              <a:off x="493" y="4216"/>
              <a:ext cx="61" cy="212"/>
            </a:xfrm>
            <a:prstGeom prst="rect">
              <a:avLst/>
            </a:prstGeom>
            <a:solidFill>
              <a:srgbClr val="BFBFBF"/>
            </a:solidFill>
            <a:ln w="25400" algn="ctr">
              <a:solidFill>
                <a:srgbClr val="000000"/>
              </a:solidFill>
              <a:miter lim="800000"/>
              <a:headEnd/>
              <a:tailEnd/>
            </a:ln>
          </xdr:spPr>
        </xdr:sp>
      </xdr:grpSp>
    </xdr:grpSp>
    <xdr:clientData/>
  </xdr:twoCellAnchor>
  <xdr:twoCellAnchor>
    <xdr:from>
      <xdr:col>8</xdr:col>
      <xdr:colOff>231652</xdr:colOff>
      <xdr:row>247</xdr:row>
      <xdr:rowOff>142000</xdr:rowOff>
    </xdr:from>
    <xdr:to>
      <xdr:col>9</xdr:col>
      <xdr:colOff>3262</xdr:colOff>
      <xdr:row>249</xdr:row>
      <xdr:rowOff>1195</xdr:rowOff>
    </xdr:to>
    <xdr:sp macro="" textlink="">
      <xdr:nvSpPr>
        <xdr:cNvPr id="269" name="TextBox 268">
          <a:extLst>
            <a:ext uri="{FF2B5EF4-FFF2-40B4-BE49-F238E27FC236}">
              <a16:creationId xmlns:a16="http://schemas.microsoft.com/office/drawing/2014/main" id="{DF11F801-707A-40EB-FA82-3F939A5C4372}"/>
            </a:ext>
          </a:extLst>
        </xdr:cNvPr>
        <xdr:cNvSpPr txBox="1"/>
      </xdr:nvSpPr>
      <xdr:spPr>
        <a:xfrm>
          <a:off x="5765677" y="41747200"/>
          <a:ext cx="581250"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900"/>
            </a:lnSpc>
          </a:pPr>
          <a:r>
            <a:rPr lang="en-US" sz="800"/>
            <a:t>kN/m</a:t>
          </a:r>
          <a:r>
            <a:rPr lang="en-US" sz="800" baseline="30000"/>
            <a:t>2</a:t>
          </a:r>
        </a:p>
        <a:p>
          <a:pPr>
            <a:lnSpc>
              <a:spcPts val="900"/>
            </a:lnSpc>
          </a:pPr>
          <a:endParaRPr lang="en-US" sz="800"/>
        </a:p>
        <a:p>
          <a:pPr>
            <a:lnSpc>
              <a:spcPts val="800"/>
            </a:lnSpc>
          </a:pPr>
          <a:endParaRPr lang="en-US" sz="800"/>
        </a:p>
      </xdr:txBody>
    </xdr:sp>
    <xdr:clientData/>
  </xdr:twoCellAnchor>
  <xdr:twoCellAnchor>
    <xdr:from>
      <xdr:col>5</xdr:col>
      <xdr:colOff>371475</xdr:colOff>
      <xdr:row>236</xdr:row>
      <xdr:rowOff>133350</xdr:rowOff>
    </xdr:from>
    <xdr:to>
      <xdr:col>6</xdr:col>
      <xdr:colOff>85725</xdr:colOff>
      <xdr:row>238</xdr:row>
      <xdr:rowOff>47625</xdr:rowOff>
    </xdr:to>
    <xdr:sp macro="" textlink="">
      <xdr:nvSpPr>
        <xdr:cNvPr id="9184" name="TextBox 269">
          <a:extLst>
            <a:ext uri="{FF2B5EF4-FFF2-40B4-BE49-F238E27FC236}">
              <a16:creationId xmlns:a16="http://schemas.microsoft.com/office/drawing/2014/main" id="{E07E1356-BAEF-C628-6AE1-12142DAB8C05}"/>
            </a:ext>
          </a:extLst>
        </xdr:cNvPr>
        <xdr:cNvSpPr txBox="1">
          <a:spLocks noChangeArrowheads="1"/>
        </xdr:cNvSpPr>
      </xdr:nvSpPr>
      <xdr:spPr bwMode="auto">
        <a:xfrm>
          <a:off x="2971800" y="39490650"/>
          <a:ext cx="485775" cy="295275"/>
        </a:xfrm>
        <a:prstGeom prst="rect">
          <a:avLst/>
        </a:prstGeom>
        <a:noFill/>
        <a:ln>
          <a:noFill/>
        </a:ln>
      </xdr:spPr>
      <xdr:txBody>
        <a:bodyPr vertOverflow="clip" wrap="square" lIns="91440" tIns="45720" rIns="91440" bIns="45720" anchor="t"/>
        <a:lstStyle/>
        <a:p>
          <a:pPr algn="l" rtl="0">
            <a:lnSpc>
              <a:spcPts val="900"/>
            </a:lnSpc>
            <a:defRPr sz="1000"/>
          </a:pPr>
          <a:r>
            <a:rPr lang="en-AU" sz="800" b="0" i="0" u="none" strike="noStrike" baseline="0">
              <a:solidFill>
                <a:srgbClr val="000000"/>
              </a:solidFill>
              <a:latin typeface="Calibri"/>
              <a:ea typeface="Calibri"/>
              <a:cs typeface="Calibri"/>
            </a:rPr>
            <a:t>kN/m</a:t>
          </a:r>
          <a:r>
            <a:rPr lang="en-AU" sz="800" b="0" i="0" u="none" strike="noStrike" baseline="30000">
              <a:solidFill>
                <a:srgbClr val="000000"/>
              </a:solidFill>
              <a:latin typeface="Calibri"/>
              <a:ea typeface="Calibri"/>
              <a:cs typeface="Calibri"/>
            </a:rPr>
            <a:t>2</a:t>
          </a:r>
        </a:p>
        <a:p>
          <a:pPr algn="l" rtl="0">
            <a:defRPr sz="1000"/>
          </a:pPr>
          <a:endParaRPr lang="en-AU" sz="800" b="0" i="0" u="none" strike="noStrike" baseline="0">
            <a:solidFill>
              <a:srgbClr val="000000"/>
            </a:solidFill>
            <a:latin typeface="Calibri"/>
            <a:ea typeface="Calibri"/>
            <a:cs typeface="Calibri"/>
          </a:endParaRPr>
        </a:p>
        <a:p>
          <a:pPr algn="l" rtl="0">
            <a:lnSpc>
              <a:spcPts val="900"/>
            </a:lnSpc>
            <a:defRPr sz="1000"/>
          </a:pPr>
          <a:endParaRPr lang="en-AU" sz="800" b="0" i="0" u="none" strike="noStrike" baseline="0">
            <a:solidFill>
              <a:srgbClr val="000000"/>
            </a:solidFill>
            <a:latin typeface="Calibri"/>
            <a:ea typeface="Calibri"/>
            <a:cs typeface="Calibri"/>
          </a:endParaRPr>
        </a:p>
      </xdr:txBody>
    </xdr:sp>
    <xdr:clientData/>
  </xdr:twoCellAnchor>
  <xdr:twoCellAnchor>
    <xdr:from>
      <xdr:col>8</xdr:col>
      <xdr:colOff>302072</xdr:colOff>
      <xdr:row>339</xdr:row>
      <xdr:rowOff>154418</xdr:rowOff>
    </xdr:from>
    <xdr:to>
      <xdr:col>9</xdr:col>
      <xdr:colOff>254727</xdr:colOff>
      <xdr:row>341</xdr:row>
      <xdr:rowOff>13613</xdr:rowOff>
    </xdr:to>
    <xdr:sp macro="" textlink="">
      <xdr:nvSpPr>
        <xdr:cNvPr id="280" name="TextBox 279">
          <a:extLst>
            <a:ext uri="{FF2B5EF4-FFF2-40B4-BE49-F238E27FC236}">
              <a16:creationId xmlns:a16="http://schemas.microsoft.com/office/drawing/2014/main" id="{5724A223-F679-38E8-B621-AA230F06F677}"/>
            </a:ext>
          </a:extLst>
        </xdr:cNvPr>
        <xdr:cNvSpPr txBox="1"/>
      </xdr:nvSpPr>
      <xdr:spPr>
        <a:xfrm>
          <a:off x="5602527" y="62723729"/>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3</xdr:col>
      <xdr:colOff>133350</xdr:colOff>
      <xdr:row>200</xdr:row>
      <xdr:rowOff>114300</xdr:rowOff>
    </xdr:from>
    <xdr:to>
      <xdr:col>3</xdr:col>
      <xdr:colOff>485775</xdr:colOff>
      <xdr:row>203</xdr:row>
      <xdr:rowOff>133350</xdr:rowOff>
    </xdr:to>
    <xdr:sp macro="" textlink="">
      <xdr:nvSpPr>
        <xdr:cNvPr id="9263" name="Text Box 8239">
          <a:extLst>
            <a:ext uri="{FF2B5EF4-FFF2-40B4-BE49-F238E27FC236}">
              <a16:creationId xmlns:a16="http://schemas.microsoft.com/office/drawing/2014/main" id="{48436489-DEB9-F20D-EB3E-7F35DF787F53}"/>
            </a:ext>
          </a:extLst>
        </xdr:cNvPr>
        <xdr:cNvSpPr txBox="1">
          <a:spLocks noChangeArrowheads="1"/>
        </xdr:cNvSpPr>
      </xdr:nvSpPr>
      <xdr:spPr bwMode="auto">
        <a:xfrm>
          <a:off x="1495425" y="31556325"/>
          <a:ext cx="352425" cy="590550"/>
        </a:xfrm>
        <a:prstGeom prst="rect">
          <a:avLst/>
        </a:prstGeom>
        <a:noFill/>
        <a:ln>
          <a:noFill/>
        </a:ln>
      </xdr:spPr>
      <xdr:txBody>
        <a:bodyPr vertOverflow="clip" vert="vert270" wrap="square" lIns="27432" tIns="27432" rIns="27432" bIns="27432" anchor="ctr" upright="1"/>
        <a:lstStyle/>
        <a:p>
          <a:pPr algn="ctr" rtl="0">
            <a:defRPr sz="1000"/>
          </a:pPr>
          <a:r>
            <a:rPr lang="en-AU" sz="1100" b="0" i="0" u="none" strike="noStrike" baseline="0">
              <a:solidFill>
                <a:srgbClr val="000000"/>
              </a:solidFill>
              <a:latin typeface="Calibri"/>
              <a:ea typeface="Calibri"/>
              <a:cs typeface="Calibri"/>
            </a:rPr>
            <a:t>kNm</a:t>
          </a:r>
        </a:p>
      </xdr:txBody>
    </xdr:sp>
    <xdr:clientData/>
  </xdr:twoCellAnchor>
  <xdr:twoCellAnchor>
    <xdr:from>
      <xdr:col>6</xdr:col>
      <xdr:colOff>219075</xdr:colOff>
      <xdr:row>207</xdr:row>
      <xdr:rowOff>152400</xdr:rowOff>
    </xdr:from>
    <xdr:to>
      <xdr:col>6</xdr:col>
      <xdr:colOff>571500</xdr:colOff>
      <xdr:row>210</xdr:row>
      <xdr:rowOff>104775</xdr:rowOff>
    </xdr:to>
    <xdr:sp macro="" textlink="">
      <xdr:nvSpPr>
        <xdr:cNvPr id="9264" name="Text Box 8240">
          <a:extLst>
            <a:ext uri="{FF2B5EF4-FFF2-40B4-BE49-F238E27FC236}">
              <a16:creationId xmlns:a16="http://schemas.microsoft.com/office/drawing/2014/main" id="{D4BAACE4-FC9B-51D6-3C90-24B06BABACAC}"/>
            </a:ext>
          </a:extLst>
        </xdr:cNvPr>
        <xdr:cNvSpPr txBox="1">
          <a:spLocks noChangeArrowheads="1"/>
        </xdr:cNvSpPr>
      </xdr:nvSpPr>
      <xdr:spPr bwMode="auto">
        <a:xfrm>
          <a:off x="3590925" y="32927925"/>
          <a:ext cx="352425" cy="523875"/>
        </a:xfrm>
        <a:prstGeom prst="rect">
          <a:avLst/>
        </a:prstGeom>
        <a:noFill/>
        <a:ln>
          <a:noFill/>
        </a:ln>
      </xdr:spPr>
      <xdr:txBody>
        <a:bodyPr vertOverflow="clip" vert="vert" wrap="square" lIns="27432" tIns="27432" rIns="27432" bIns="27432" anchor="ctr" upright="1"/>
        <a:lstStyle/>
        <a:p>
          <a:pPr algn="ctr" rtl="0">
            <a:defRPr sz="1000"/>
          </a:pPr>
          <a:r>
            <a:rPr lang="en-AU" sz="1100" b="0" i="0" u="none" strike="noStrike" baseline="0">
              <a:solidFill>
                <a:srgbClr val="000000"/>
              </a:solidFill>
              <a:latin typeface="Calibri"/>
              <a:ea typeface="Calibri"/>
              <a:cs typeface="Calibri"/>
            </a:rPr>
            <a:t>kNm</a:t>
          </a:r>
        </a:p>
      </xdr:txBody>
    </xdr:sp>
    <xdr:clientData/>
  </xdr:twoCellAnchor>
  <xdr:twoCellAnchor>
    <xdr:from>
      <xdr:col>3</xdr:col>
      <xdr:colOff>123825</xdr:colOff>
      <xdr:row>292</xdr:row>
      <xdr:rowOff>95250</xdr:rowOff>
    </xdr:from>
    <xdr:to>
      <xdr:col>3</xdr:col>
      <xdr:colOff>476250</xdr:colOff>
      <xdr:row>295</xdr:row>
      <xdr:rowOff>114300</xdr:rowOff>
    </xdr:to>
    <xdr:sp macro="" textlink="">
      <xdr:nvSpPr>
        <xdr:cNvPr id="9266" name="Text Box 8242">
          <a:extLst>
            <a:ext uri="{FF2B5EF4-FFF2-40B4-BE49-F238E27FC236}">
              <a16:creationId xmlns:a16="http://schemas.microsoft.com/office/drawing/2014/main" id="{FF506F34-D362-744A-AE48-7BF5ED77FD1C}"/>
            </a:ext>
          </a:extLst>
        </xdr:cNvPr>
        <xdr:cNvSpPr txBox="1">
          <a:spLocks noChangeArrowheads="1"/>
        </xdr:cNvSpPr>
      </xdr:nvSpPr>
      <xdr:spPr bwMode="auto">
        <a:xfrm>
          <a:off x="1485900" y="51092100"/>
          <a:ext cx="352425" cy="590550"/>
        </a:xfrm>
        <a:prstGeom prst="rect">
          <a:avLst/>
        </a:prstGeom>
        <a:noFill/>
        <a:ln>
          <a:noFill/>
        </a:ln>
      </xdr:spPr>
      <xdr:txBody>
        <a:bodyPr vertOverflow="clip" vert="vert270" wrap="square" lIns="27432" tIns="27432" rIns="27432" bIns="27432" anchor="ctr" upright="1"/>
        <a:lstStyle/>
        <a:p>
          <a:pPr algn="ctr" rtl="0">
            <a:defRPr sz="1000"/>
          </a:pPr>
          <a:r>
            <a:rPr lang="en-AU" sz="1100" b="0" i="0" u="none" strike="noStrike" baseline="0">
              <a:solidFill>
                <a:srgbClr val="000000"/>
              </a:solidFill>
              <a:latin typeface="Calibri"/>
              <a:ea typeface="Calibri"/>
              <a:cs typeface="Calibri"/>
            </a:rPr>
            <a:t>kNm</a:t>
          </a:r>
        </a:p>
      </xdr:txBody>
    </xdr:sp>
    <xdr:clientData/>
  </xdr:twoCellAnchor>
  <xdr:twoCellAnchor>
    <xdr:from>
      <xdr:col>6</xdr:col>
      <xdr:colOff>219075</xdr:colOff>
      <xdr:row>299</xdr:row>
      <xdr:rowOff>85725</xdr:rowOff>
    </xdr:from>
    <xdr:to>
      <xdr:col>6</xdr:col>
      <xdr:colOff>571500</xdr:colOff>
      <xdr:row>302</xdr:row>
      <xdr:rowOff>104775</xdr:rowOff>
    </xdr:to>
    <xdr:sp macro="" textlink="">
      <xdr:nvSpPr>
        <xdr:cNvPr id="9267" name="Text Box 8243">
          <a:extLst>
            <a:ext uri="{FF2B5EF4-FFF2-40B4-BE49-F238E27FC236}">
              <a16:creationId xmlns:a16="http://schemas.microsoft.com/office/drawing/2014/main" id="{C618F797-ED68-BF0F-AF4B-503F90083F90}"/>
            </a:ext>
          </a:extLst>
        </xdr:cNvPr>
        <xdr:cNvSpPr txBox="1">
          <a:spLocks noChangeArrowheads="1"/>
        </xdr:cNvSpPr>
      </xdr:nvSpPr>
      <xdr:spPr bwMode="auto">
        <a:xfrm>
          <a:off x="3590925" y="52416075"/>
          <a:ext cx="352425" cy="590550"/>
        </a:xfrm>
        <a:prstGeom prst="rect">
          <a:avLst/>
        </a:prstGeom>
        <a:noFill/>
        <a:ln>
          <a:noFill/>
        </a:ln>
      </xdr:spPr>
      <xdr:txBody>
        <a:bodyPr vertOverflow="clip" vert="vert" wrap="square" lIns="27432" tIns="27432" rIns="27432" bIns="27432" anchor="ctr" upright="1"/>
        <a:lstStyle/>
        <a:p>
          <a:pPr algn="ctr" rtl="0">
            <a:defRPr sz="1000"/>
          </a:pPr>
          <a:r>
            <a:rPr lang="en-AU" sz="1100" b="0" i="0" u="none" strike="noStrike" baseline="0">
              <a:solidFill>
                <a:srgbClr val="000000"/>
              </a:solidFill>
              <a:latin typeface="Calibri"/>
              <a:ea typeface="Calibri"/>
              <a:cs typeface="Calibri"/>
            </a:rPr>
            <a:t>kNm</a:t>
          </a:r>
        </a:p>
      </xdr:txBody>
    </xdr:sp>
    <xdr:clientData/>
  </xdr:twoCellAnchor>
  <xdr:twoCellAnchor>
    <xdr:from>
      <xdr:col>3</xdr:col>
      <xdr:colOff>123825</xdr:colOff>
      <xdr:row>384</xdr:row>
      <xdr:rowOff>161925</xdr:rowOff>
    </xdr:from>
    <xdr:to>
      <xdr:col>3</xdr:col>
      <xdr:colOff>476250</xdr:colOff>
      <xdr:row>387</xdr:row>
      <xdr:rowOff>180975</xdr:rowOff>
    </xdr:to>
    <xdr:sp macro="" textlink="">
      <xdr:nvSpPr>
        <xdr:cNvPr id="9268" name="Text Box 8244">
          <a:extLst>
            <a:ext uri="{FF2B5EF4-FFF2-40B4-BE49-F238E27FC236}">
              <a16:creationId xmlns:a16="http://schemas.microsoft.com/office/drawing/2014/main" id="{C6A33B07-77A8-DA61-3B05-2C1400EDC52B}"/>
            </a:ext>
          </a:extLst>
        </xdr:cNvPr>
        <xdr:cNvSpPr txBox="1">
          <a:spLocks noChangeArrowheads="1"/>
        </xdr:cNvSpPr>
      </xdr:nvSpPr>
      <xdr:spPr bwMode="auto">
        <a:xfrm>
          <a:off x="1485900" y="70675500"/>
          <a:ext cx="352425" cy="590550"/>
        </a:xfrm>
        <a:prstGeom prst="rect">
          <a:avLst/>
        </a:prstGeom>
        <a:noFill/>
        <a:ln>
          <a:noFill/>
        </a:ln>
      </xdr:spPr>
      <xdr:txBody>
        <a:bodyPr vertOverflow="clip" vert="vert270" wrap="square" lIns="27432" tIns="27432" rIns="27432" bIns="27432" anchor="ctr" upright="1"/>
        <a:lstStyle/>
        <a:p>
          <a:pPr algn="ctr" rtl="0">
            <a:defRPr sz="1000"/>
          </a:pPr>
          <a:r>
            <a:rPr lang="en-AU" sz="1100" b="0" i="0" u="none" strike="noStrike" baseline="0">
              <a:solidFill>
                <a:srgbClr val="000000"/>
              </a:solidFill>
              <a:latin typeface="Calibri"/>
              <a:ea typeface="Calibri"/>
              <a:cs typeface="Calibri"/>
            </a:rPr>
            <a:t>kNm</a:t>
          </a:r>
        </a:p>
      </xdr:txBody>
    </xdr:sp>
    <xdr:clientData/>
  </xdr:twoCellAnchor>
  <xdr:twoCellAnchor>
    <xdr:from>
      <xdr:col>6</xdr:col>
      <xdr:colOff>219075</xdr:colOff>
      <xdr:row>391</xdr:row>
      <xdr:rowOff>0</xdr:rowOff>
    </xdr:from>
    <xdr:to>
      <xdr:col>6</xdr:col>
      <xdr:colOff>571500</xdr:colOff>
      <xdr:row>394</xdr:row>
      <xdr:rowOff>19050</xdr:rowOff>
    </xdr:to>
    <xdr:sp macro="" textlink="">
      <xdr:nvSpPr>
        <xdr:cNvPr id="9269" name="Text Box 8245">
          <a:extLst>
            <a:ext uri="{FF2B5EF4-FFF2-40B4-BE49-F238E27FC236}">
              <a16:creationId xmlns:a16="http://schemas.microsoft.com/office/drawing/2014/main" id="{5640E3B1-DF81-8B42-16F7-1CF3637DC958}"/>
            </a:ext>
          </a:extLst>
        </xdr:cNvPr>
        <xdr:cNvSpPr txBox="1">
          <a:spLocks noChangeArrowheads="1"/>
        </xdr:cNvSpPr>
      </xdr:nvSpPr>
      <xdr:spPr bwMode="auto">
        <a:xfrm>
          <a:off x="3590925" y="71847075"/>
          <a:ext cx="352425" cy="590550"/>
        </a:xfrm>
        <a:prstGeom prst="rect">
          <a:avLst/>
        </a:prstGeom>
        <a:noFill/>
        <a:ln>
          <a:noFill/>
        </a:ln>
      </xdr:spPr>
      <xdr:txBody>
        <a:bodyPr vertOverflow="clip" vert="vert" wrap="square" lIns="27432" tIns="27432" rIns="27432" bIns="27432" anchor="ctr" upright="1"/>
        <a:lstStyle/>
        <a:p>
          <a:pPr algn="ctr" rtl="0">
            <a:defRPr sz="1000"/>
          </a:pPr>
          <a:r>
            <a:rPr lang="en-AU" sz="1100" b="0" i="0" u="none" strike="noStrike" baseline="0">
              <a:solidFill>
                <a:srgbClr val="000000"/>
              </a:solidFill>
              <a:latin typeface="Calibri"/>
              <a:ea typeface="Calibri"/>
              <a:cs typeface="Calibri"/>
            </a:rPr>
            <a:t>kNm</a:t>
          </a:r>
        </a:p>
      </xdr:txBody>
    </xdr:sp>
    <xdr:clientData/>
  </xdr:twoCellAnchor>
  <xdr:twoCellAnchor>
    <xdr:from>
      <xdr:col>6</xdr:col>
      <xdr:colOff>742950</xdr:colOff>
      <xdr:row>125</xdr:row>
      <xdr:rowOff>38100</xdr:rowOff>
    </xdr:from>
    <xdr:to>
      <xdr:col>7</xdr:col>
      <xdr:colOff>142875</xdr:colOff>
      <xdr:row>131</xdr:row>
      <xdr:rowOff>76200</xdr:rowOff>
    </xdr:to>
    <xdr:grpSp>
      <xdr:nvGrpSpPr>
        <xdr:cNvPr id="11908" name="Group 8247">
          <a:extLst>
            <a:ext uri="{FF2B5EF4-FFF2-40B4-BE49-F238E27FC236}">
              <a16:creationId xmlns:a16="http://schemas.microsoft.com/office/drawing/2014/main" id="{3AC635C5-0665-A612-EDE7-42B58BF3D827}"/>
            </a:ext>
          </a:extLst>
        </xdr:cNvPr>
        <xdr:cNvGrpSpPr>
          <a:grpSpLocks/>
        </xdr:cNvGrpSpPr>
      </xdr:nvGrpSpPr>
      <xdr:grpSpPr bwMode="auto">
        <a:xfrm>
          <a:off x="4267200" y="24250650"/>
          <a:ext cx="142875" cy="1181100"/>
          <a:chOff x="547" y="1699"/>
          <a:chExt cx="25" cy="153"/>
        </a:xfrm>
      </xdr:grpSpPr>
      <xdr:cxnSp macro="">
        <xdr:nvCxnSpPr>
          <xdr:cNvPr id="12012" name="Straight Connector 79">
            <a:extLst>
              <a:ext uri="{FF2B5EF4-FFF2-40B4-BE49-F238E27FC236}">
                <a16:creationId xmlns:a16="http://schemas.microsoft.com/office/drawing/2014/main" id="{B9E99B5A-DA0D-1DEC-3280-66D4C9E53573}"/>
              </a:ext>
            </a:extLst>
          </xdr:cNvPr>
          <xdr:cNvCxnSpPr>
            <a:cxnSpLocks noChangeShapeType="1"/>
          </xdr:cNvCxnSpPr>
        </xdr:nvCxnSpPr>
        <xdr:spPr bwMode="auto">
          <a:xfrm rot="5400000">
            <a:off x="493" y="1775"/>
            <a:ext cx="146"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013" name="Straight Connector 216">
            <a:extLst>
              <a:ext uri="{FF2B5EF4-FFF2-40B4-BE49-F238E27FC236}">
                <a16:creationId xmlns:a16="http://schemas.microsoft.com/office/drawing/2014/main" id="{819FCDDF-EEC0-16EF-5F8C-849736F2AB5B}"/>
              </a:ext>
            </a:extLst>
          </xdr:cNvPr>
          <xdr:cNvCxnSpPr>
            <a:cxnSpLocks noChangeShapeType="1"/>
          </xdr:cNvCxnSpPr>
        </xdr:nvCxnSpPr>
        <xdr:spPr bwMode="auto">
          <a:xfrm flipV="1">
            <a:off x="547" y="1702"/>
            <a:ext cx="19" cy="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014" name="Straight Connector 217">
            <a:extLst>
              <a:ext uri="{FF2B5EF4-FFF2-40B4-BE49-F238E27FC236}">
                <a16:creationId xmlns:a16="http://schemas.microsoft.com/office/drawing/2014/main" id="{322ADA7B-780D-7ED2-E263-A39FD63649FC}"/>
              </a:ext>
            </a:extLst>
          </xdr:cNvPr>
          <xdr:cNvCxnSpPr>
            <a:cxnSpLocks noChangeShapeType="1"/>
          </xdr:cNvCxnSpPr>
        </xdr:nvCxnSpPr>
        <xdr:spPr bwMode="auto">
          <a:xfrm>
            <a:off x="561" y="1699"/>
            <a:ext cx="11" cy="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015" name="Straight Connector 218">
            <a:extLst>
              <a:ext uri="{FF2B5EF4-FFF2-40B4-BE49-F238E27FC236}">
                <a16:creationId xmlns:a16="http://schemas.microsoft.com/office/drawing/2014/main" id="{5584E0E8-27F6-F60D-A447-4E0054C43428}"/>
              </a:ext>
            </a:extLst>
          </xdr:cNvPr>
          <xdr:cNvCxnSpPr>
            <a:cxnSpLocks noChangeShapeType="1"/>
          </xdr:cNvCxnSpPr>
        </xdr:nvCxnSpPr>
        <xdr:spPr bwMode="auto">
          <a:xfrm flipV="1">
            <a:off x="548" y="1849"/>
            <a:ext cx="19" cy="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016" name="Straight Connector 219">
            <a:extLst>
              <a:ext uri="{FF2B5EF4-FFF2-40B4-BE49-F238E27FC236}">
                <a16:creationId xmlns:a16="http://schemas.microsoft.com/office/drawing/2014/main" id="{EDF5E766-65B2-EDDD-7EC6-1476D97A8181}"/>
              </a:ext>
            </a:extLst>
          </xdr:cNvPr>
          <xdr:cNvCxnSpPr>
            <a:cxnSpLocks noChangeShapeType="1"/>
          </xdr:cNvCxnSpPr>
        </xdr:nvCxnSpPr>
        <xdr:spPr bwMode="auto">
          <a:xfrm flipV="1">
            <a:off x="561" y="1846"/>
            <a:ext cx="9" cy="6"/>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xdr:col>
      <xdr:colOff>668432</xdr:colOff>
      <xdr:row>125</xdr:row>
      <xdr:rowOff>75081</xdr:rowOff>
    </xdr:from>
    <xdr:to>
      <xdr:col>6</xdr:col>
      <xdr:colOff>638073</xdr:colOff>
      <xdr:row>131</xdr:row>
      <xdr:rowOff>76898</xdr:rowOff>
    </xdr:to>
    <xdr:sp macro="" textlink="">
      <xdr:nvSpPr>
        <xdr:cNvPr id="78" name="Trapezoid 77">
          <a:extLst>
            <a:ext uri="{FF2B5EF4-FFF2-40B4-BE49-F238E27FC236}">
              <a16:creationId xmlns:a16="http://schemas.microsoft.com/office/drawing/2014/main" id="{E7E4C7C2-8153-CB3D-4B8A-062ACA11ACD9}"/>
            </a:ext>
          </a:extLst>
        </xdr:cNvPr>
        <xdr:cNvSpPr/>
      </xdr:nvSpPr>
      <xdr:spPr>
        <a:xfrm>
          <a:off x="806825" y="15564972"/>
          <a:ext cx="3742764" cy="1411941"/>
        </a:xfrm>
        <a:prstGeom prst="trapezoid">
          <a:avLst>
            <a:gd name="adj" fmla="val 67857"/>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lientData/>
  </xdr:twoCellAnchor>
  <xdr:twoCellAnchor>
    <xdr:from>
      <xdr:col>3</xdr:col>
      <xdr:colOff>161925</xdr:colOff>
      <xdr:row>123</xdr:row>
      <xdr:rowOff>142875</xdr:rowOff>
    </xdr:from>
    <xdr:to>
      <xdr:col>5</xdr:col>
      <xdr:colOff>561975</xdr:colOff>
      <xdr:row>125</xdr:row>
      <xdr:rowOff>76200</xdr:rowOff>
    </xdr:to>
    <xdr:sp macro="" textlink="">
      <xdr:nvSpPr>
        <xdr:cNvPr id="11910" name="Rectangle 78">
          <a:extLst>
            <a:ext uri="{FF2B5EF4-FFF2-40B4-BE49-F238E27FC236}">
              <a16:creationId xmlns:a16="http://schemas.microsoft.com/office/drawing/2014/main" id="{C70CDDF1-3057-AE9E-5C08-C70453CA4386}"/>
            </a:ext>
          </a:extLst>
        </xdr:cNvPr>
        <xdr:cNvSpPr>
          <a:spLocks noChangeArrowheads="1"/>
        </xdr:cNvSpPr>
      </xdr:nvSpPr>
      <xdr:spPr bwMode="auto">
        <a:xfrm>
          <a:off x="1990725" y="23974425"/>
          <a:ext cx="1619250" cy="314325"/>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167194</xdr:colOff>
      <xdr:row>126</xdr:row>
      <xdr:rowOff>0</xdr:rowOff>
    </xdr:from>
    <xdr:to>
      <xdr:col>5</xdr:col>
      <xdr:colOff>549247</xdr:colOff>
      <xdr:row>126</xdr:row>
      <xdr:rowOff>1588</xdr:rowOff>
    </xdr:to>
    <xdr:cxnSp macro="">
      <xdr:nvCxnSpPr>
        <xdr:cNvPr id="85" name="Straight Connector 84">
          <a:extLst>
            <a:ext uri="{FF2B5EF4-FFF2-40B4-BE49-F238E27FC236}">
              <a16:creationId xmlns:a16="http://schemas.microsoft.com/office/drawing/2014/main" id="{B8CDD52D-CDB3-5417-5E00-0C9654EDA40A}"/>
            </a:ext>
          </a:extLst>
        </xdr:cNvPr>
        <xdr:cNvCxnSpPr/>
      </xdr:nvCxnSpPr>
      <xdr:spPr>
        <a:xfrm>
          <a:off x="1929319" y="16310043"/>
          <a:ext cx="218467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170695</xdr:colOff>
      <xdr:row>125</xdr:row>
      <xdr:rowOff>118961</xdr:rowOff>
    </xdr:from>
    <xdr:to>
      <xdr:col>3</xdr:col>
      <xdr:colOff>172802</xdr:colOff>
      <xdr:row>125</xdr:row>
      <xdr:rowOff>190110</xdr:rowOff>
    </xdr:to>
    <xdr:cxnSp macro="">
      <xdr:nvCxnSpPr>
        <xdr:cNvPr id="221" name="Straight Connector 220">
          <a:extLst>
            <a:ext uri="{FF2B5EF4-FFF2-40B4-BE49-F238E27FC236}">
              <a16:creationId xmlns:a16="http://schemas.microsoft.com/office/drawing/2014/main" id="{1D59F93A-34FF-2643-1F17-2EBB353E43F9}"/>
            </a:ext>
          </a:extLst>
        </xdr:cNvPr>
        <xdr:cNvCxnSpPr/>
      </xdr:nvCxnSpPr>
      <xdr:spPr>
        <a:xfrm rot="16200000" flipV="1">
          <a:off x="1884327" y="16267947"/>
          <a:ext cx="80043" cy="210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141990</xdr:colOff>
      <xdr:row>125</xdr:row>
      <xdr:rowOff>162720</xdr:rowOff>
    </xdr:from>
    <xdr:to>
      <xdr:col>3</xdr:col>
      <xdr:colOff>191197</xdr:colOff>
      <xdr:row>126</xdr:row>
      <xdr:rowOff>15636</xdr:rowOff>
    </xdr:to>
    <xdr:cxnSp macro="">
      <xdr:nvCxnSpPr>
        <xdr:cNvPr id="222" name="Straight Connector 221">
          <a:extLst>
            <a:ext uri="{FF2B5EF4-FFF2-40B4-BE49-F238E27FC236}">
              <a16:creationId xmlns:a16="http://schemas.microsoft.com/office/drawing/2014/main" id="{9C01AF13-1512-4900-9CD4-624A03FF3387}"/>
            </a:ext>
          </a:extLst>
        </xdr:cNvPr>
        <xdr:cNvCxnSpPr/>
      </xdr:nvCxnSpPr>
      <xdr:spPr>
        <a:xfrm>
          <a:off x="1894590" y="16282263"/>
          <a:ext cx="59048" cy="520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557410</xdr:colOff>
      <xdr:row>125</xdr:row>
      <xdr:rowOff>126014</xdr:rowOff>
    </xdr:from>
    <xdr:to>
      <xdr:col>5</xdr:col>
      <xdr:colOff>559517</xdr:colOff>
      <xdr:row>125</xdr:row>
      <xdr:rowOff>188270</xdr:rowOff>
    </xdr:to>
    <xdr:cxnSp macro="">
      <xdr:nvCxnSpPr>
        <xdr:cNvPr id="227" name="Straight Connector 226">
          <a:extLst>
            <a:ext uri="{FF2B5EF4-FFF2-40B4-BE49-F238E27FC236}">
              <a16:creationId xmlns:a16="http://schemas.microsoft.com/office/drawing/2014/main" id="{6CEDB3D9-6DB9-551E-9E0D-AF9F70B39FD9}"/>
            </a:ext>
          </a:extLst>
        </xdr:cNvPr>
        <xdr:cNvCxnSpPr/>
      </xdr:nvCxnSpPr>
      <xdr:spPr>
        <a:xfrm rot="16200000" flipV="1">
          <a:off x="4078887" y="16283187"/>
          <a:ext cx="80043" cy="210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542041</xdr:colOff>
      <xdr:row>125</xdr:row>
      <xdr:rowOff>163830</xdr:rowOff>
    </xdr:from>
    <xdr:to>
      <xdr:col>5</xdr:col>
      <xdr:colOff>579325</xdr:colOff>
      <xdr:row>126</xdr:row>
      <xdr:rowOff>22733</xdr:rowOff>
    </xdr:to>
    <xdr:cxnSp macro="">
      <xdr:nvCxnSpPr>
        <xdr:cNvPr id="228" name="Straight Connector 227">
          <a:extLst>
            <a:ext uri="{FF2B5EF4-FFF2-40B4-BE49-F238E27FC236}">
              <a16:creationId xmlns:a16="http://schemas.microsoft.com/office/drawing/2014/main" id="{BBD52D4C-0B55-DAA2-EC64-69F9D13709A9}"/>
            </a:ext>
          </a:extLst>
        </xdr:cNvPr>
        <xdr:cNvCxnSpPr/>
      </xdr:nvCxnSpPr>
      <xdr:spPr>
        <a:xfrm rot="5400000" flipH="1" flipV="1">
          <a:off x="4095194" y="16296947"/>
          <a:ext cx="59283" cy="485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419100</xdr:colOff>
      <xdr:row>125</xdr:row>
      <xdr:rowOff>142875</xdr:rowOff>
    </xdr:from>
    <xdr:to>
      <xdr:col>5</xdr:col>
      <xdr:colOff>95250</xdr:colOff>
      <xdr:row>127</xdr:row>
      <xdr:rowOff>47625</xdr:rowOff>
    </xdr:to>
    <xdr:sp macro="" textlink="">
      <xdr:nvSpPr>
        <xdr:cNvPr id="9148" name="TextBox 230">
          <a:extLst>
            <a:ext uri="{FF2B5EF4-FFF2-40B4-BE49-F238E27FC236}">
              <a16:creationId xmlns:a16="http://schemas.microsoft.com/office/drawing/2014/main" id="{59AF85D6-3906-164B-5B95-B172D588904A}"/>
            </a:ext>
          </a:extLst>
        </xdr:cNvPr>
        <xdr:cNvSpPr txBox="1">
          <a:spLocks noChangeArrowheads="1"/>
        </xdr:cNvSpPr>
      </xdr:nvSpPr>
      <xdr:spPr bwMode="auto">
        <a:xfrm>
          <a:off x="2400300" y="15935325"/>
          <a:ext cx="295275" cy="285750"/>
        </a:xfrm>
        <a:prstGeom prst="rect">
          <a:avLst/>
        </a:prstGeom>
        <a:noFill/>
        <a:ln>
          <a:noFill/>
        </a:ln>
      </xdr:spPr>
      <xdr:txBody>
        <a:bodyPr vertOverflow="clip" wrap="square" lIns="91440" tIns="45720" rIns="91440" bIns="45720" anchor="t"/>
        <a:lstStyle/>
        <a:p>
          <a:pPr algn="l" rtl="0">
            <a:lnSpc>
              <a:spcPts val="1100"/>
            </a:lnSpc>
            <a:defRPr sz="1000"/>
          </a:pPr>
          <a:r>
            <a:rPr lang="en-AU" sz="1100" b="0" i="0" u="none" strike="noStrike" baseline="0">
              <a:solidFill>
                <a:srgbClr val="000000"/>
              </a:solidFill>
              <a:latin typeface="Calibri"/>
              <a:ea typeface="Calibri"/>
              <a:cs typeface="Calibri"/>
            </a:rPr>
            <a:t>m</a:t>
          </a:r>
        </a:p>
        <a:p>
          <a:pPr algn="l" rtl="0">
            <a:lnSpc>
              <a:spcPts val="1100"/>
            </a:lnSpc>
            <a:defRPr sz="1000"/>
          </a:pPr>
          <a:endParaRPr lang="en-AU" sz="1100" b="0" i="0" u="none" strike="noStrike" baseline="0">
            <a:solidFill>
              <a:srgbClr val="000000"/>
            </a:solidFill>
            <a:latin typeface="Calibri"/>
            <a:ea typeface="Calibri"/>
            <a:cs typeface="Calibri"/>
          </a:endParaRPr>
        </a:p>
      </xdr:txBody>
    </xdr:sp>
    <xdr:clientData/>
  </xdr:twoCellAnchor>
  <xdr:twoCellAnchor>
    <xdr:from>
      <xdr:col>1</xdr:col>
      <xdr:colOff>628650</xdr:colOff>
      <xdr:row>131</xdr:row>
      <xdr:rowOff>161925</xdr:rowOff>
    </xdr:from>
    <xdr:to>
      <xdr:col>6</xdr:col>
      <xdr:colOff>685800</xdr:colOff>
      <xdr:row>132</xdr:row>
      <xdr:rowOff>133350</xdr:rowOff>
    </xdr:to>
    <xdr:grpSp>
      <xdr:nvGrpSpPr>
        <xdr:cNvPr id="11917" name="Group 8249">
          <a:extLst>
            <a:ext uri="{FF2B5EF4-FFF2-40B4-BE49-F238E27FC236}">
              <a16:creationId xmlns:a16="http://schemas.microsoft.com/office/drawing/2014/main" id="{25C7BEE4-9121-A0A6-593A-FEE987E88E29}"/>
            </a:ext>
          </a:extLst>
        </xdr:cNvPr>
        <xdr:cNvGrpSpPr>
          <a:grpSpLocks/>
        </xdr:cNvGrpSpPr>
      </xdr:nvGrpSpPr>
      <xdr:grpSpPr bwMode="auto">
        <a:xfrm>
          <a:off x="1219200" y="25517475"/>
          <a:ext cx="3048000" cy="161925"/>
          <a:chOff x="86" y="1503"/>
          <a:chExt cx="462" cy="21"/>
        </a:xfrm>
      </xdr:grpSpPr>
      <xdr:cxnSp macro="">
        <xdr:nvCxnSpPr>
          <xdr:cNvPr id="12007" name="Straight Connector 75">
            <a:extLst>
              <a:ext uri="{FF2B5EF4-FFF2-40B4-BE49-F238E27FC236}">
                <a16:creationId xmlns:a16="http://schemas.microsoft.com/office/drawing/2014/main" id="{A496C198-0DD6-58E1-7CB4-E77E709D2200}"/>
              </a:ext>
            </a:extLst>
          </xdr:cNvPr>
          <xdr:cNvCxnSpPr>
            <a:cxnSpLocks noChangeShapeType="1"/>
          </xdr:cNvCxnSpPr>
        </xdr:nvCxnSpPr>
        <xdr:spPr bwMode="auto">
          <a:xfrm>
            <a:off x="90" y="1519"/>
            <a:ext cx="454"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008" name="Straight Connector 202">
            <a:extLst>
              <a:ext uri="{FF2B5EF4-FFF2-40B4-BE49-F238E27FC236}">
                <a16:creationId xmlns:a16="http://schemas.microsoft.com/office/drawing/2014/main" id="{7A7CF7EF-598F-2E7D-A7AB-D49A7F665108}"/>
              </a:ext>
            </a:extLst>
          </xdr:cNvPr>
          <xdr:cNvCxnSpPr>
            <a:cxnSpLocks noChangeShapeType="1"/>
          </xdr:cNvCxnSpPr>
        </xdr:nvCxnSpPr>
        <xdr:spPr bwMode="auto">
          <a:xfrm rot="16200000" flipV="1">
            <a:off x="535" y="1510"/>
            <a:ext cx="16" cy="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009" name="Straight Connector 211">
            <a:extLst>
              <a:ext uri="{FF2B5EF4-FFF2-40B4-BE49-F238E27FC236}">
                <a16:creationId xmlns:a16="http://schemas.microsoft.com/office/drawing/2014/main" id="{959EF9BA-CD28-80B6-EF8D-ADBF8C1938E8}"/>
              </a:ext>
            </a:extLst>
          </xdr:cNvPr>
          <xdr:cNvCxnSpPr>
            <a:cxnSpLocks noChangeShapeType="1"/>
          </xdr:cNvCxnSpPr>
        </xdr:nvCxnSpPr>
        <xdr:spPr bwMode="auto">
          <a:xfrm rot="16200000" flipV="1">
            <a:off x="83" y="1510"/>
            <a:ext cx="16" cy="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010" name="Straight Connector 213">
            <a:extLst>
              <a:ext uri="{FF2B5EF4-FFF2-40B4-BE49-F238E27FC236}">
                <a16:creationId xmlns:a16="http://schemas.microsoft.com/office/drawing/2014/main" id="{30BAAC13-5E5A-1653-53D9-CAA631EEE88B}"/>
              </a:ext>
            </a:extLst>
          </xdr:cNvPr>
          <xdr:cNvCxnSpPr>
            <a:cxnSpLocks noChangeShapeType="1"/>
          </xdr:cNvCxnSpPr>
        </xdr:nvCxnSpPr>
        <xdr:spPr bwMode="auto">
          <a:xfrm>
            <a:off x="86" y="1516"/>
            <a:ext cx="11" cy="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2011" name="Straight Connector 214">
            <a:extLst>
              <a:ext uri="{FF2B5EF4-FFF2-40B4-BE49-F238E27FC236}">
                <a16:creationId xmlns:a16="http://schemas.microsoft.com/office/drawing/2014/main" id="{1FB3A7C2-48EC-C172-D3B0-6BCF329717CB}"/>
              </a:ext>
            </a:extLst>
          </xdr:cNvPr>
          <xdr:cNvCxnSpPr>
            <a:cxnSpLocks noChangeShapeType="1"/>
          </xdr:cNvCxnSpPr>
        </xdr:nvCxnSpPr>
        <xdr:spPr bwMode="auto">
          <a:xfrm flipV="1">
            <a:off x="539" y="1515"/>
            <a:ext cx="9" cy="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xdr:col>
      <xdr:colOff>76200</xdr:colOff>
      <xdr:row>173</xdr:row>
      <xdr:rowOff>180975</xdr:rowOff>
    </xdr:from>
    <xdr:to>
      <xdr:col>8</xdr:col>
      <xdr:colOff>676275</xdr:colOff>
      <xdr:row>183</xdr:row>
      <xdr:rowOff>0</xdr:rowOff>
    </xdr:to>
    <xdr:grpSp>
      <xdr:nvGrpSpPr>
        <xdr:cNvPr id="11918" name="Group 8261">
          <a:extLst>
            <a:ext uri="{FF2B5EF4-FFF2-40B4-BE49-F238E27FC236}">
              <a16:creationId xmlns:a16="http://schemas.microsoft.com/office/drawing/2014/main" id="{565905E3-CC98-5DCD-1052-51E09E4A46E7}"/>
            </a:ext>
          </a:extLst>
        </xdr:cNvPr>
        <xdr:cNvGrpSpPr>
          <a:grpSpLocks/>
        </xdr:cNvGrpSpPr>
      </xdr:nvGrpSpPr>
      <xdr:grpSpPr bwMode="auto">
        <a:xfrm>
          <a:off x="685800" y="33537525"/>
          <a:ext cx="4800600" cy="1724025"/>
          <a:chOff x="3" y="2710"/>
          <a:chExt cx="568" cy="234"/>
        </a:xfrm>
      </xdr:grpSpPr>
      <xdr:sp macro="" textlink="">
        <xdr:nvSpPr>
          <xdr:cNvPr id="11995" name="Rectangle 82">
            <a:extLst>
              <a:ext uri="{FF2B5EF4-FFF2-40B4-BE49-F238E27FC236}">
                <a16:creationId xmlns:a16="http://schemas.microsoft.com/office/drawing/2014/main" id="{41C522AC-CCDF-4012-7F97-84611887FD83}"/>
              </a:ext>
            </a:extLst>
          </xdr:cNvPr>
          <xdr:cNvSpPr>
            <a:spLocks noChangeArrowheads="1"/>
          </xdr:cNvSpPr>
        </xdr:nvSpPr>
        <xdr:spPr bwMode="auto">
          <a:xfrm>
            <a:off x="200" y="2933"/>
            <a:ext cx="157" cy="11"/>
          </a:xfrm>
          <a:prstGeom prst="rect">
            <a:avLst/>
          </a:prstGeom>
          <a:solidFill>
            <a:srgbClr val="BFBFBF"/>
          </a:solidFill>
          <a:ln w="25400" algn="ctr">
            <a:solidFill>
              <a:srgbClr val="000000"/>
            </a:solidFill>
            <a:miter lim="800000"/>
            <a:headEnd/>
            <a:tailEnd/>
          </a:ln>
        </xdr:spPr>
      </xdr:sp>
      <xdr:sp macro="" textlink="">
        <xdr:nvSpPr>
          <xdr:cNvPr id="11996" name="Rectangle 83">
            <a:extLst>
              <a:ext uri="{FF2B5EF4-FFF2-40B4-BE49-F238E27FC236}">
                <a16:creationId xmlns:a16="http://schemas.microsoft.com/office/drawing/2014/main" id="{11B4C891-7B94-D65A-8154-4AD5B2974EB3}"/>
              </a:ext>
            </a:extLst>
          </xdr:cNvPr>
          <xdr:cNvSpPr>
            <a:spLocks noChangeArrowheads="1"/>
          </xdr:cNvSpPr>
        </xdr:nvSpPr>
        <xdr:spPr bwMode="auto">
          <a:xfrm>
            <a:off x="132" y="2720"/>
            <a:ext cx="68" cy="213"/>
          </a:xfrm>
          <a:prstGeom prst="rect">
            <a:avLst/>
          </a:prstGeom>
          <a:solidFill>
            <a:srgbClr val="BFBFBF"/>
          </a:solidFill>
          <a:ln w="25400" algn="ctr">
            <a:solidFill>
              <a:srgbClr val="000000"/>
            </a:solidFill>
            <a:miter lim="800000"/>
            <a:headEnd/>
            <a:tailEnd/>
          </a:ln>
        </xdr:spPr>
      </xdr:sp>
      <xdr:sp macro="" textlink="">
        <xdr:nvSpPr>
          <xdr:cNvPr id="11997" name="Rectangle 85">
            <a:extLst>
              <a:ext uri="{FF2B5EF4-FFF2-40B4-BE49-F238E27FC236}">
                <a16:creationId xmlns:a16="http://schemas.microsoft.com/office/drawing/2014/main" id="{FD5A9141-B5BE-1981-29AC-FB1B00D47702}"/>
              </a:ext>
            </a:extLst>
          </xdr:cNvPr>
          <xdr:cNvSpPr>
            <a:spLocks noChangeArrowheads="1"/>
          </xdr:cNvSpPr>
        </xdr:nvSpPr>
        <xdr:spPr bwMode="auto">
          <a:xfrm>
            <a:off x="357" y="2721"/>
            <a:ext cx="68" cy="213"/>
          </a:xfrm>
          <a:prstGeom prst="rect">
            <a:avLst/>
          </a:prstGeom>
          <a:solidFill>
            <a:srgbClr val="BFBFBF"/>
          </a:solidFill>
          <a:ln w="25400" algn="ctr">
            <a:solidFill>
              <a:srgbClr val="000000"/>
            </a:solidFill>
            <a:miter lim="800000"/>
            <a:headEnd/>
            <a:tailEnd/>
          </a:ln>
        </xdr:spPr>
      </xdr:sp>
      <xdr:sp macro="" textlink="">
        <xdr:nvSpPr>
          <xdr:cNvPr id="11998" name="Right Triangle 86">
            <a:extLst>
              <a:ext uri="{FF2B5EF4-FFF2-40B4-BE49-F238E27FC236}">
                <a16:creationId xmlns:a16="http://schemas.microsoft.com/office/drawing/2014/main" id="{5F38AEEB-F6EA-1FDE-5C43-0161096817E7}"/>
              </a:ext>
            </a:extLst>
          </xdr:cNvPr>
          <xdr:cNvSpPr>
            <a:spLocks noChangeArrowheads="1"/>
          </xdr:cNvSpPr>
        </xdr:nvSpPr>
        <xdr:spPr bwMode="auto">
          <a:xfrm>
            <a:off x="492" y="2727"/>
            <a:ext cx="79" cy="207"/>
          </a:xfrm>
          <a:prstGeom prst="rtTriangle">
            <a:avLst/>
          </a:prstGeom>
          <a:solidFill>
            <a:srgbClr val="F2F2F2"/>
          </a:solidFill>
          <a:ln w="25400" algn="ctr">
            <a:solidFill>
              <a:srgbClr val="000000"/>
            </a:solidFill>
            <a:miter lim="800000"/>
            <a:headEnd/>
            <a:tailEnd/>
          </a:ln>
        </xdr:spPr>
      </xdr:sp>
      <xdr:sp macro="" textlink="">
        <xdr:nvSpPr>
          <xdr:cNvPr id="11999" name="Right Triangle 87">
            <a:extLst>
              <a:ext uri="{FF2B5EF4-FFF2-40B4-BE49-F238E27FC236}">
                <a16:creationId xmlns:a16="http://schemas.microsoft.com/office/drawing/2014/main" id="{576ECD66-5A28-F738-2374-5277E58B7CDB}"/>
              </a:ext>
            </a:extLst>
          </xdr:cNvPr>
          <xdr:cNvSpPr>
            <a:spLocks noChangeArrowheads="1"/>
          </xdr:cNvSpPr>
        </xdr:nvSpPr>
        <xdr:spPr bwMode="auto">
          <a:xfrm flipH="1">
            <a:off x="3" y="2726"/>
            <a:ext cx="73" cy="207"/>
          </a:xfrm>
          <a:prstGeom prst="rtTriangle">
            <a:avLst/>
          </a:prstGeom>
          <a:solidFill>
            <a:srgbClr val="F2F2F2"/>
          </a:solidFill>
          <a:ln w="25400" algn="ctr">
            <a:solidFill>
              <a:srgbClr val="000000"/>
            </a:solidFill>
            <a:miter lim="800000"/>
            <a:headEnd/>
            <a:tailEnd/>
          </a:ln>
        </xdr:spPr>
      </xdr:sp>
      <xdr:sp macro="" textlink="">
        <xdr:nvSpPr>
          <xdr:cNvPr id="12000" name="Rectangle 88">
            <a:extLst>
              <a:ext uri="{FF2B5EF4-FFF2-40B4-BE49-F238E27FC236}">
                <a16:creationId xmlns:a16="http://schemas.microsoft.com/office/drawing/2014/main" id="{4A3ED65F-A7B2-BBAB-0B7C-4AED57F54649}"/>
              </a:ext>
            </a:extLst>
          </xdr:cNvPr>
          <xdr:cNvSpPr>
            <a:spLocks noChangeArrowheads="1"/>
          </xdr:cNvSpPr>
        </xdr:nvSpPr>
        <xdr:spPr bwMode="auto">
          <a:xfrm>
            <a:off x="76" y="2721"/>
            <a:ext cx="56" cy="212"/>
          </a:xfrm>
          <a:prstGeom prst="rect">
            <a:avLst/>
          </a:prstGeom>
          <a:solidFill>
            <a:srgbClr val="BFBFBF"/>
          </a:solidFill>
          <a:ln w="25400" algn="ctr">
            <a:solidFill>
              <a:srgbClr val="000000"/>
            </a:solidFill>
            <a:miter lim="800000"/>
            <a:headEnd/>
            <a:tailEnd/>
          </a:ln>
        </xdr:spPr>
      </xdr:sp>
      <xdr:sp macro="" textlink="">
        <xdr:nvSpPr>
          <xdr:cNvPr id="12001" name="Rectangle 89">
            <a:extLst>
              <a:ext uri="{FF2B5EF4-FFF2-40B4-BE49-F238E27FC236}">
                <a16:creationId xmlns:a16="http://schemas.microsoft.com/office/drawing/2014/main" id="{FAA92231-ACC9-B130-057F-72D4A39576E4}"/>
              </a:ext>
            </a:extLst>
          </xdr:cNvPr>
          <xdr:cNvSpPr>
            <a:spLocks noChangeArrowheads="1"/>
          </xdr:cNvSpPr>
        </xdr:nvSpPr>
        <xdr:spPr bwMode="auto">
          <a:xfrm>
            <a:off x="426" y="2722"/>
            <a:ext cx="67" cy="212"/>
          </a:xfrm>
          <a:prstGeom prst="rect">
            <a:avLst/>
          </a:prstGeom>
          <a:solidFill>
            <a:srgbClr val="BFBFBF"/>
          </a:solidFill>
          <a:ln w="25400" algn="ctr">
            <a:solidFill>
              <a:srgbClr val="000000"/>
            </a:solidFill>
            <a:miter lim="800000"/>
            <a:headEnd/>
            <a:tailEnd/>
          </a:ln>
        </xdr:spPr>
      </xdr:sp>
      <xdr:sp macro="" textlink="">
        <xdr:nvSpPr>
          <xdr:cNvPr id="9086" name="TextBox 90">
            <a:extLst>
              <a:ext uri="{FF2B5EF4-FFF2-40B4-BE49-F238E27FC236}">
                <a16:creationId xmlns:a16="http://schemas.microsoft.com/office/drawing/2014/main" id="{847118A6-E9B3-F3C0-35C3-8693A4531A0F}"/>
              </a:ext>
            </a:extLst>
          </xdr:cNvPr>
          <xdr:cNvSpPr txBox="1">
            <a:spLocks noChangeArrowheads="1"/>
          </xdr:cNvSpPr>
        </xdr:nvSpPr>
        <xdr:spPr bwMode="auto">
          <a:xfrm>
            <a:off x="202" y="2723"/>
            <a:ext cx="32" cy="28"/>
          </a:xfrm>
          <a:prstGeom prst="rect">
            <a:avLst/>
          </a:prstGeom>
          <a:solidFill>
            <a:srgbClr val="FFFFFF"/>
          </a:solidFill>
          <a:ln w="9525">
            <a:solidFill>
              <a:srgbClr val="BCBCBC"/>
            </a:solidFill>
            <a:miter lim="800000"/>
            <a:headEnd/>
            <a:tailEnd/>
          </a:ln>
        </xdr:spPr>
        <xdr:txBody>
          <a:bodyPr vertOverflow="clip" wrap="square" lIns="91440" tIns="45720" rIns="91440" bIns="45720" anchor="t"/>
          <a:lstStyle/>
          <a:p>
            <a:pPr algn="l" rtl="0">
              <a:defRPr sz="1000"/>
            </a:pPr>
            <a:r>
              <a:rPr lang="en-AU" sz="800" b="1" i="0" u="none" strike="noStrike" baseline="0">
                <a:solidFill>
                  <a:srgbClr val="000000"/>
                </a:solidFill>
                <a:latin typeface="Calibri"/>
                <a:ea typeface="Calibri"/>
                <a:cs typeface="Calibri"/>
              </a:rPr>
              <a:t>B</a:t>
            </a:r>
          </a:p>
        </xdr:txBody>
      </xdr:sp>
      <xdr:sp macro="" textlink="">
        <xdr:nvSpPr>
          <xdr:cNvPr id="9087" name="TextBox 93">
            <a:extLst>
              <a:ext uri="{FF2B5EF4-FFF2-40B4-BE49-F238E27FC236}">
                <a16:creationId xmlns:a16="http://schemas.microsoft.com/office/drawing/2014/main" id="{63CA6523-061B-F0F5-E1A7-4206EEEE759F}"/>
              </a:ext>
            </a:extLst>
          </xdr:cNvPr>
          <xdr:cNvSpPr txBox="1">
            <a:spLocks noChangeArrowheads="1"/>
          </xdr:cNvSpPr>
        </xdr:nvSpPr>
        <xdr:spPr bwMode="auto">
          <a:xfrm>
            <a:off x="324" y="2903"/>
            <a:ext cx="32" cy="30"/>
          </a:xfrm>
          <a:prstGeom prst="rect">
            <a:avLst/>
          </a:prstGeom>
          <a:solidFill>
            <a:srgbClr val="FFFFFF"/>
          </a:solidFill>
          <a:ln w="9525">
            <a:solidFill>
              <a:srgbClr val="BCBCBC"/>
            </a:solidFill>
            <a:miter lim="800000"/>
            <a:headEnd/>
            <a:tailEnd/>
          </a:ln>
        </xdr:spPr>
        <xdr:txBody>
          <a:bodyPr vertOverflow="clip" wrap="square" lIns="91440" tIns="45720" rIns="91440" bIns="45720" anchor="t"/>
          <a:lstStyle/>
          <a:p>
            <a:pPr algn="l" rtl="0">
              <a:defRPr sz="1000"/>
            </a:pPr>
            <a:r>
              <a:rPr lang="en-AU" sz="800" b="1" i="0" u="none" strike="noStrike" baseline="0">
                <a:solidFill>
                  <a:srgbClr val="000000"/>
                </a:solidFill>
                <a:latin typeface="Calibri"/>
                <a:ea typeface="Calibri"/>
                <a:cs typeface="Calibri"/>
              </a:rPr>
              <a:t>D</a:t>
            </a:r>
          </a:p>
        </xdr:txBody>
      </xdr:sp>
      <xdr:sp macro="" textlink="">
        <xdr:nvSpPr>
          <xdr:cNvPr id="9088" name="TextBox 96">
            <a:extLst>
              <a:ext uri="{FF2B5EF4-FFF2-40B4-BE49-F238E27FC236}">
                <a16:creationId xmlns:a16="http://schemas.microsoft.com/office/drawing/2014/main" id="{95BC70E4-278A-F043-2834-ADCDD9120B5E}"/>
              </a:ext>
            </a:extLst>
          </xdr:cNvPr>
          <xdr:cNvSpPr txBox="1">
            <a:spLocks noChangeArrowheads="1"/>
          </xdr:cNvSpPr>
        </xdr:nvSpPr>
        <xdr:spPr bwMode="auto">
          <a:xfrm>
            <a:off x="323" y="2723"/>
            <a:ext cx="30" cy="28"/>
          </a:xfrm>
          <a:prstGeom prst="rect">
            <a:avLst/>
          </a:prstGeom>
          <a:solidFill>
            <a:srgbClr val="FFFFFF"/>
          </a:solidFill>
          <a:ln w="9525">
            <a:solidFill>
              <a:srgbClr val="BCBCBC"/>
            </a:solidFill>
            <a:miter lim="800000"/>
            <a:headEnd/>
            <a:tailEnd/>
          </a:ln>
        </xdr:spPr>
        <xdr:txBody>
          <a:bodyPr vertOverflow="clip" wrap="square" lIns="91440" tIns="45720" rIns="91440" bIns="45720" anchor="t"/>
          <a:lstStyle/>
          <a:p>
            <a:pPr algn="l" rtl="0">
              <a:defRPr sz="1000"/>
            </a:pPr>
            <a:r>
              <a:rPr lang="en-AU" sz="800" b="1" i="0" u="none" strike="noStrike" baseline="0">
                <a:solidFill>
                  <a:srgbClr val="000000"/>
                </a:solidFill>
                <a:latin typeface="Calibri"/>
                <a:ea typeface="Calibri"/>
                <a:cs typeface="Calibri"/>
              </a:rPr>
              <a:t>C</a:t>
            </a:r>
          </a:p>
        </xdr:txBody>
      </xdr:sp>
      <xdr:sp macro="" textlink="">
        <xdr:nvSpPr>
          <xdr:cNvPr id="9089" name="TextBox 98">
            <a:extLst>
              <a:ext uri="{FF2B5EF4-FFF2-40B4-BE49-F238E27FC236}">
                <a16:creationId xmlns:a16="http://schemas.microsoft.com/office/drawing/2014/main" id="{BCC3B779-27E7-9653-F132-1D2639CB4118}"/>
              </a:ext>
            </a:extLst>
          </xdr:cNvPr>
          <xdr:cNvSpPr txBox="1">
            <a:spLocks noChangeArrowheads="1"/>
          </xdr:cNvSpPr>
        </xdr:nvSpPr>
        <xdr:spPr bwMode="auto">
          <a:xfrm>
            <a:off x="202" y="2903"/>
            <a:ext cx="32" cy="30"/>
          </a:xfrm>
          <a:prstGeom prst="rect">
            <a:avLst/>
          </a:prstGeom>
          <a:solidFill>
            <a:srgbClr val="FFFFFF"/>
          </a:solidFill>
          <a:ln w="9525">
            <a:solidFill>
              <a:srgbClr val="BCBCBC"/>
            </a:solidFill>
            <a:miter lim="800000"/>
            <a:headEnd/>
            <a:tailEnd/>
          </a:ln>
        </xdr:spPr>
        <xdr:txBody>
          <a:bodyPr vertOverflow="clip" wrap="square" lIns="91440" tIns="45720" rIns="91440" bIns="45720" anchor="t"/>
          <a:lstStyle/>
          <a:p>
            <a:pPr algn="l" rtl="0">
              <a:defRPr sz="1000"/>
            </a:pPr>
            <a:r>
              <a:rPr lang="en-AU" sz="800" b="1" i="0" u="none" strike="noStrike" baseline="0">
                <a:solidFill>
                  <a:srgbClr val="000000"/>
                </a:solidFill>
                <a:latin typeface="Calibri"/>
                <a:ea typeface="Calibri"/>
                <a:cs typeface="Calibri"/>
              </a:rPr>
              <a:t>A</a:t>
            </a:r>
          </a:p>
        </xdr:txBody>
      </xdr:sp>
      <xdr:sp macro="" textlink="">
        <xdr:nvSpPr>
          <xdr:cNvPr id="12006" name="Rectangle 82">
            <a:extLst>
              <a:ext uri="{FF2B5EF4-FFF2-40B4-BE49-F238E27FC236}">
                <a16:creationId xmlns:a16="http://schemas.microsoft.com/office/drawing/2014/main" id="{1E16413F-21AC-C515-057D-CAE2DA35BC1E}"/>
              </a:ext>
            </a:extLst>
          </xdr:cNvPr>
          <xdr:cNvSpPr>
            <a:spLocks noChangeArrowheads="1"/>
          </xdr:cNvSpPr>
        </xdr:nvSpPr>
        <xdr:spPr bwMode="auto">
          <a:xfrm>
            <a:off x="199" y="2710"/>
            <a:ext cx="157" cy="11"/>
          </a:xfrm>
          <a:prstGeom prst="rect">
            <a:avLst/>
          </a:prstGeom>
          <a:solidFill>
            <a:srgbClr val="BFBFBF"/>
          </a:solidFill>
          <a:ln w="25400" algn="ctr">
            <a:solidFill>
              <a:srgbClr val="000000"/>
            </a:solidFill>
            <a:miter lim="800000"/>
            <a:headEnd/>
            <a:tailEnd/>
          </a:ln>
        </xdr:spPr>
      </xdr:sp>
    </xdr:grpSp>
    <xdr:clientData/>
  </xdr:twoCellAnchor>
  <xdr:twoCellAnchor>
    <xdr:from>
      <xdr:col>4</xdr:col>
      <xdr:colOff>85725</xdr:colOff>
      <xdr:row>246</xdr:row>
      <xdr:rowOff>180975</xdr:rowOff>
    </xdr:from>
    <xdr:to>
      <xdr:col>4</xdr:col>
      <xdr:colOff>85725</xdr:colOff>
      <xdr:row>249</xdr:row>
      <xdr:rowOff>0</xdr:rowOff>
    </xdr:to>
    <xdr:sp macro="" textlink="">
      <xdr:nvSpPr>
        <xdr:cNvPr id="11919" name="Line 8265">
          <a:extLst>
            <a:ext uri="{FF2B5EF4-FFF2-40B4-BE49-F238E27FC236}">
              <a16:creationId xmlns:a16="http://schemas.microsoft.com/office/drawing/2014/main" id="{0078886A-CD62-F509-54A8-4D6FF39BE832}"/>
            </a:ext>
          </a:extLst>
        </xdr:cNvPr>
        <xdr:cNvSpPr>
          <a:spLocks noChangeShapeType="1"/>
        </xdr:cNvSpPr>
      </xdr:nvSpPr>
      <xdr:spPr bwMode="auto">
        <a:xfrm>
          <a:off x="2524125" y="47510700"/>
          <a:ext cx="0" cy="390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247650</xdr:colOff>
      <xdr:row>249</xdr:row>
      <xdr:rowOff>0</xdr:rowOff>
    </xdr:from>
    <xdr:to>
      <xdr:col>4</xdr:col>
      <xdr:colOff>85725</xdr:colOff>
      <xdr:row>249</xdr:row>
      <xdr:rowOff>0</xdr:rowOff>
    </xdr:to>
    <xdr:sp macro="" textlink="">
      <xdr:nvSpPr>
        <xdr:cNvPr id="11920" name="Line 8266">
          <a:extLst>
            <a:ext uri="{FF2B5EF4-FFF2-40B4-BE49-F238E27FC236}">
              <a16:creationId xmlns:a16="http://schemas.microsoft.com/office/drawing/2014/main" id="{697F8D64-5CAD-EF63-D5E7-39EE89CAF6AC}"/>
            </a:ext>
          </a:extLst>
        </xdr:cNvPr>
        <xdr:cNvSpPr>
          <a:spLocks noChangeShapeType="1"/>
        </xdr:cNvSpPr>
      </xdr:nvSpPr>
      <xdr:spPr bwMode="auto">
        <a:xfrm flipH="1">
          <a:off x="2076450" y="47901225"/>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504825</xdr:colOff>
      <xdr:row>246</xdr:row>
      <xdr:rowOff>161925</xdr:rowOff>
    </xdr:from>
    <xdr:to>
      <xdr:col>5</xdr:col>
      <xdr:colOff>504825</xdr:colOff>
      <xdr:row>249</xdr:row>
      <xdr:rowOff>28575</xdr:rowOff>
    </xdr:to>
    <xdr:sp macro="" textlink="">
      <xdr:nvSpPr>
        <xdr:cNvPr id="11921" name="Line 8267">
          <a:extLst>
            <a:ext uri="{FF2B5EF4-FFF2-40B4-BE49-F238E27FC236}">
              <a16:creationId xmlns:a16="http://schemas.microsoft.com/office/drawing/2014/main" id="{562B7E61-B4A6-17BC-BE9A-F118870DF02E}"/>
            </a:ext>
          </a:extLst>
        </xdr:cNvPr>
        <xdr:cNvSpPr>
          <a:spLocks noChangeShapeType="1"/>
        </xdr:cNvSpPr>
      </xdr:nvSpPr>
      <xdr:spPr bwMode="auto">
        <a:xfrm>
          <a:off x="3552825" y="47491650"/>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50</xdr:row>
      <xdr:rowOff>171450</xdr:rowOff>
    </xdr:from>
    <xdr:to>
      <xdr:col>3</xdr:col>
      <xdr:colOff>285750</xdr:colOff>
      <xdr:row>51</xdr:row>
      <xdr:rowOff>161925</xdr:rowOff>
    </xdr:to>
    <xdr:grpSp>
      <xdr:nvGrpSpPr>
        <xdr:cNvPr id="11922" name="Group 8281">
          <a:extLst>
            <a:ext uri="{FF2B5EF4-FFF2-40B4-BE49-F238E27FC236}">
              <a16:creationId xmlns:a16="http://schemas.microsoft.com/office/drawing/2014/main" id="{982C78FD-39F8-6DBF-8149-D022294703DB}"/>
            </a:ext>
          </a:extLst>
        </xdr:cNvPr>
        <xdr:cNvGrpSpPr>
          <a:grpSpLocks/>
        </xdr:cNvGrpSpPr>
      </xdr:nvGrpSpPr>
      <xdr:grpSpPr bwMode="auto">
        <a:xfrm>
          <a:off x="1714500" y="10096500"/>
          <a:ext cx="400050" cy="180975"/>
          <a:chOff x="374" y="82"/>
          <a:chExt cx="51" cy="19"/>
        </a:xfrm>
      </xdr:grpSpPr>
      <xdr:cxnSp macro="">
        <xdr:nvCxnSpPr>
          <xdr:cNvPr id="27" name="Straight Connector 26">
            <a:extLst>
              <a:ext uri="{FF2B5EF4-FFF2-40B4-BE49-F238E27FC236}">
                <a16:creationId xmlns:a16="http://schemas.microsoft.com/office/drawing/2014/main" id="{559A07C5-3726-B9E2-30B7-970D99898D9A}"/>
              </a:ext>
            </a:extLst>
          </xdr:cNvPr>
          <xdr:cNvCxnSpPr/>
        </xdr:nvCxnSpPr>
        <xdr:spPr>
          <a:xfrm>
            <a:off x="380" y="87"/>
            <a:ext cx="4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F79EA1F7-1170-2154-9CF1-06CB29BCBFB4}"/>
              </a:ext>
            </a:extLst>
          </xdr:cNvPr>
          <xdr:cNvCxnSpPr/>
        </xdr:nvCxnSpPr>
        <xdr:spPr>
          <a:xfrm rot="10800000" flipV="1">
            <a:off x="374" y="82"/>
            <a:ext cx="11"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6AEDEF26-E46D-B2E8-7081-AF8B876FFCAC}"/>
              </a:ext>
            </a:extLst>
          </xdr:cNvPr>
          <xdr:cNvCxnSpPr/>
        </xdr:nvCxnSpPr>
        <xdr:spPr>
          <a:xfrm rot="10800000" flipV="1">
            <a:off x="415" y="83"/>
            <a:ext cx="10" cy="1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B9A8019C-38A2-FAE5-0A9B-5A0D1390EDA2}"/>
              </a:ext>
            </a:extLst>
          </xdr:cNvPr>
          <xdr:cNvCxnSpPr/>
        </xdr:nvCxnSpPr>
        <xdr:spPr>
          <a:xfrm rot="5400000">
            <a:off x="373" y="94"/>
            <a:ext cx="1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EAD0AB5-2D21-9C56-3E12-844ECC9A9006}"/>
              </a:ext>
            </a:extLst>
          </xdr:cNvPr>
          <xdr:cNvCxnSpPr/>
        </xdr:nvCxnSpPr>
        <xdr:spPr>
          <a:xfrm rot="5400000">
            <a:off x="413" y="94"/>
            <a:ext cx="1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285891</xdr:colOff>
      <xdr:row>339</xdr:row>
      <xdr:rowOff>146555</xdr:rowOff>
    </xdr:from>
    <xdr:to>
      <xdr:col>2</xdr:col>
      <xdr:colOff>146554</xdr:colOff>
      <xdr:row>341</xdr:row>
      <xdr:rowOff>5750</xdr:rowOff>
    </xdr:to>
    <xdr:sp macro="" textlink="">
      <xdr:nvSpPr>
        <xdr:cNvPr id="271" name="TextBox 270">
          <a:extLst>
            <a:ext uri="{FF2B5EF4-FFF2-40B4-BE49-F238E27FC236}">
              <a16:creationId xmlns:a16="http://schemas.microsoft.com/office/drawing/2014/main" id="{9CF5B5C4-EEBD-27BF-700E-2568D5DEBEFA}"/>
            </a:ext>
          </a:extLst>
        </xdr:cNvPr>
        <xdr:cNvSpPr txBox="1"/>
      </xdr:nvSpPr>
      <xdr:spPr>
        <a:xfrm>
          <a:off x="38241" y="62725391"/>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2</xdr:col>
      <xdr:colOff>225018</xdr:colOff>
      <xdr:row>339</xdr:row>
      <xdr:rowOff>130817</xdr:rowOff>
    </xdr:from>
    <xdr:to>
      <xdr:col>3</xdr:col>
      <xdr:colOff>171406</xdr:colOff>
      <xdr:row>340</xdr:row>
      <xdr:rowOff>180512</xdr:rowOff>
    </xdr:to>
    <xdr:sp macro="" textlink="">
      <xdr:nvSpPr>
        <xdr:cNvPr id="272" name="TextBox 271">
          <a:extLst>
            <a:ext uri="{FF2B5EF4-FFF2-40B4-BE49-F238E27FC236}">
              <a16:creationId xmlns:a16="http://schemas.microsoft.com/office/drawing/2014/main" id="{68089E27-F23B-813E-84F5-204993AAA03E}"/>
            </a:ext>
          </a:extLst>
        </xdr:cNvPr>
        <xdr:cNvSpPr txBox="1"/>
      </xdr:nvSpPr>
      <xdr:spPr>
        <a:xfrm>
          <a:off x="745580" y="62728703"/>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3</xdr:col>
      <xdr:colOff>142628</xdr:colOff>
      <xdr:row>339</xdr:row>
      <xdr:rowOff>181748</xdr:rowOff>
    </xdr:from>
    <xdr:to>
      <xdr:col>4</xdr:col>
      <xdr:colOff>108066</xdr:colOff>
      <xdr:row>341</xdr:row>
      <xdr:rowOff>40943</xdr:rowOff>
    </xdr:to>
    <xdr:sp macro="" textlink="">
      <xdr:nvSpPr>
        <xdr:cNvPr id="273" name="TextBox 272">
          <a:extLst>
            <a:ext uri="{FF2B5EF4-FFF2-40B4-BE49-F238E27FC236}">
              <a16:creationId xmlns:a16="http://schemas.microsoft.com/office/drawing/2014/main" id="{D6D4F46C-80B6-E049-8276-D69BC4633176}"/>
            </a:ext>
          </a:extLst>
        </xdr:cNvPr>
        <xdr:cNvSpPr txBox="1"/>
      </xdr:nvSpPr>
      <xdr:spPr>
        <a:xfrm>
          <a:off x="1361828" y="62732009"/>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3</xdr:col>
      <xdr:colOff>208886</xdr:colOff>
      <xdr:row>340</xdr:row>
      <xdr:rowOff>148204</xdr:rowOff>
    </xdr:from>
    <xdr:to>
      <xdr:col>4</xdr:col>
      <xdr:colOff>172254</xdr:colOff>
      <xdr:row>342</xdr:row>
      <xdr:rowOff>7399</xdr:rowOff>
    </xdr:to>
    <xdr:sp macro="" textlink="">
      <xdr:nvSpPr>
        <xdr:cNvPr id="276" name="TextBox 275">
          <a:extLst>
            <a:ext uri="{FF2B5EF4-FFF2-40B4-BE49-F238E27FC236}">
              <a16:creationId xmlns:a16="http://schemas.microsoft.com/office/drawing/2014/main" id="{5FD6DD70-4CA8-3481-5B1F-A28A93C92332}"/>
            </a:ext>
          </a:extLst>
        </xdr:cNvPr>
        <xdr:cNvSpPr txBox="1"/>
      </xdr:nvSpPr>
      <xdr:spPr>
        <a:xfrm>
          <a:off x="2011182" y="62917540"/>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5</xdr:col>
      <xdr:colOff>507894</xdr:colOff>
      <xdr:row>340</xdr:row>
      <xdr:rowOff>143235</xdr:rowOff>
    </xdr:from>
    <xdr:to>
      <xdr:col>6</xdr:col>
      <xdr:colOff>338507</xdr:colOff>
      <xdr:row>342</xdr:row>
      <xdr:rowOff>2430</xdr:rowOff>
    </xdr:to>
    <xdr:sp macro="" textlink="">
      <xdr:nvSpPr>
        <xdr:cNvPr id="277" name="TextBox 276">
          <a:extLst>
            <a:ext uri="{FF2B5EF4-FFF2-40B4-BE49-F238E27FC236}">
              <a16:creationId xmlns:a16="http://schemas.microsoft.com/office/drawing/2014/main" id="{F8822EC9-A4B9-4482-E72D-7594F010FC90}"/>
            </a:ext>
          </a:extLst>
        </xdr:cNvPr>
        <xdr:cNvSpPr txBox="1"/>
      </xdr:nvSpPr>
      <xdr:spPr>
        <a:xfrm>
          <a:off x="3720718" y="62912571"/>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900"/>
            </a:lnSpc>
          </a:pPr>
          <a:r>
            <a:rPr lang="en-US" sz="800"/>
            <a:t>kN/m</a:t>
          </a:r>
          <a:r>
            <a:rPr lang="en-US" sz="800" baseline="30000"/>
            <a:t>2</a:t>
          </a:r>
        </a:p>
        <a:p>
          <a:pPr>
            <a:lnSpc>
              <a:spcPts val="900"/>
            </a:lnSpc>
          </a:pPr>
          <a:endParaRPr lang="en-US" sz="800"/>
        </a:p>
        <a:p>
          <a:pPr>
            <a:lnSpc>
              <a:spcPts val="800"/>
            </a:lnSpc>
          </a:pPr>
          <a:endParaRPr lang="en-US" sz="800"/>
        </a:p>
      </xdr:txBody>
    </xdr:sp>
    <xdr:clientData/>
  </xdr:twoCellAnchor>
  <xdr:twoCellAnchor>
    <xdr:from>
      <xdr:col>6</xdr:col>
      <xdr:colOff>136006</xdr:colOff>
      <xdr:row>339</xdr:row>
      <xdr:rowOff>166842</xdr:rowOff>
    </xdr:from>
    <xdr:to>
      <xdr:col>6</xdr:col>
      <xdr:colOff>720569</xdr:colOff>
      <xdr:row>341</xdr:row>
      <xdr:rowOff>26037</xdr:rowOff>
    </xdr:to>
    <xdr:sp macro="" textlink="">
      <xdr:nvSpPr>
        <xdr:cNvPr id="278" name="TextBox 277">
          <a:extLst>
            <a:ext uri="{FF2B5EF4-FFF2-40B4-BE49-F238E27FC236}">
              <a16:creationId xmlns:a16="http://schemas.microsoft.com/office/drawing/2014/main" id="{3A8ED176-E849-62B1-5BAA-8254209E8BEC}"/>
            </a:ext>
          </a:extLst>
        </xdr:cNvPr>
        <xdr:cNvSpPr txBox="1"/>
      </xdr:nvSpPr>
      <xdr:spPr>
        <a:xfrm>
          <a:off x="4121597" y="62717103"/>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7</xdr:col>
      <xdr:colOff>235809</xdr:colOff>
      <xdr:row>339</xdr:row>
      <xdr:rowOff>140337</xdr:rowOff>
    </xdr:from>
    <xdr:to>
      <xdr:col>8</xdr:col>
      <xdr:colOff>134572</xdr:colOff>
      <xdr:row>340</xdr:row>
      <xdr:rowOff>190032</xdr:rowOff>
    </xdr:to>
    <xdr:sp macro="" textlink="">
      <xdr:nvSpPr>
        <xdr:cNvPr id="279" name="TextBox 278">
          <a:extLst>
            <a:ext uri="{FF2B5EF4-FFF2-40B4-BE49-F238E27FC236}">
              <a16:creationId xmlns:a16="http://schemas.microsoft.com/office/drawing/2014/main" id="{DD2CD838-FD96-5F31-696B-5949442F9E2E}"/>
            </a:ext>
          </a:extLst>
        </xdr:cNvPr>
        <xdr:cNvSpPr txBox="1"/>
      </xdr:nvSpPr>
      <xdr:spPr>
        <a:xfrm>
          <a:off x="4804082" y="62728698"/>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3</xdr:col>
      <xdr:colOff>388116</xdr:colOff>
      <xdr:row>330</xdr:row>
      <xdr:rowOff>128382</xdr:rowOff>
    </xdr:from>
    <xdr:to>
      <xdr:col>4</xdr:col>
      <xdr:colOff>81713</xdr:colOff>
      <xdr:row>331</xdr:row>
      <xdr:rowOff>166482</xdr:rowOff>
    </xdr:to>
    <xdr:sp macro="" textlink="">
      <xdr:nvSpPr>
        <xdr:cNvPr id="172" name="TextBox 171">
          <a:extLst>
            <a:ext uri="{FF2B5EF4-FFF2-40B4-BE49-F238E27FC236}">
              <a16:creationId xmlns:a16="http://schemas.microsoft.com/office/drawing/2014/main" id="{65E1E836-63A7-6F01-37D1-762BF18DBA99}"/>
            </a:ext>
          </a:extLst>
        </xdr:cNvPr>
        <xdr:cNvSpPr txBox="1"/>
      </xdr:nvSpPr>
      <xdr:spPr bwMode="auto">
        <a:xfrm>
          <a:off x="1788291" y="60716493"/>
          <a:ext cx="352699"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B</a:t>
          </a:r>
        </a:p>
      </xdr:txBody>
    </xdr:sp>
    <xdr:clientData/>
  </xdr:twoCellAnchor>
  <xdr:twoCellAnchor>
    <xdr:from>
      <xdr:col>6</xdr:col>
      <xdr:colOff>12665</xdr:colOff>
      <xdr:row>338</xdr:row>
      <xdr:rowOff>49698</xdr:rowOff>
    </xdr:from>
    <xdr:to>
      <xdr:col>6</xdr:col>
      <xdr:colOff>317703</xdr:colOff>
      <xdr:row>339</xdr:row>
      <xdr:rowOff>87798</xdr:rowOff>
    </xdr:to>
    <xdr:sp macro="" textlink="">
      <xdr:nvSpPr>
        <xdr:cNvPr id="173" name="TextBox 172">
          <a:extLst>
            <a:ext uri="{FF2B5EF4-FFF2-40B4-BE49-F238E27FC236}">
              <a16:creationId xmlns:a16="http://schemas.microsoft.com/office/drawing/2014/main" id="{4DB21B13-3734-D9BE-EEE1-47C554A91C66}"/>
            </a:ext>
          </a:extLst>
        </xdr:cNvPr>
        <xdr:cNvSpPr txBox="1"/>
      </xdr:nvSpPr>
      <xdr:spPr bwMode="auto">
        <a:xfrm>
          <a:off x="3616014" y="62447559"/>
          <a:ext cx="33363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D</a:t>
          </a:r>
        </a:p>
      </xdr:txBody>
    </xdr:sp>
    <xdr:clientData/>
  </xdr:twoCellAnchor>
  <xdr:twoCellAnchor>
    <xdr:from>
      <xdr:col>6</xdr:col>
      <xdr:colOff>11416</xdr:colOff>
      <xdr:row>330</xdr:row>
      <xdr:rowOff>120099</xdr:rowOff>
    </xdr:from>
    <xdr:to>
      <xdr:col>6</xdr:col>
      <xdr:colOff>325986</xdr:colOff>
      <xdr:row>331</xdr:row>
      <xdr:rowOff>148674</xdr:rowOff>
    </xdr:to>
    <xdr:sp macro="" textlink="">
      <xdr:nvSpPr>
        <xdr:cNvPr id="174" name="TextBox 173">
          <a:extLst>
            <a:ext uri="{FF2B5EF4-FFF2-40B4-BE49-F238E27FC236}">
              <a16:creationId xmlns:a16="http://schemas.microsoft.com/office/drawing/2014/main" id="{26C8D764-64C9-ADA2-BD25-B69DC924F888}"/>
            </a:ext>
          </a:extLst>
        </xdr:cNvPr>
        <xdr:cNvSpPr txBox="1"/>
      </xdr:nvSpPr>
      <xdr:spPr bwMode="auto">
        <a:xfrm>
          <a:off x="3614765" y="60708210"/>
          <a:ext cx="343167"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C</a:t>
          </a:r>
        </a:p>
      </xdr:txBody>
    </xdr:sp>
    <xdr:clientData/>
  </xdr:twoCellAnchor>
  <xdr:twoCellAnchor>
    <xdr:from>
      <xdr:col>3</xdr:col>
      <xdr:colOff>396399</xdr:colOff>
      <xdr:row>338</xdr:row>
      <xdr:rowOff>41415</xdr:rowOff>
    </xdr:from>
    <xdr:to>
      <xdr:col>4</xdr:col>
      <xdr:colOff>88943</xdr:colOff>
      <xdr:row>339</xdr:row>
      <xdr:rowOff>79515</xdr:rowOff>
    </xdr:to>
    <xdr:sp macro="" textlink="">
      <xdr:nvSpPr>
        <xdr:cNvPr id="175" name="TextBox 174">
          <a:extLst>
            <a:ext uri="{FF2B5EF4-FFF2-40B4-BE49-F238E27FC236}">
              <a16:creationId xmlns:a16="http://schemas.microsoft.com/office/drawing/2014/main" id="{B1EEE9DD-0D42-C7BE-EFA4-FD86B0E29DB0}"/>
            </a:ext>
          </a:extLst>
        </xdr:cNvPr>
        <xdr:cNvSpPr txBox="1"/>
      </xdr:nvSpPr>
      <xdr:spPr bwMode="auto">
        <a:xfrm>
          <a:off x="1796574" y="62439276"/>
          <a:ext cx="352699"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A</a:t>
          </a:r>
        </a:p>
      </xdr:txBody>
    </xdr:sp>
    <xdr:clientData/>
  </xdr:twoCellAnchor>
  <xdr:twoCellAnchor>
    <xdr:from>
      <xdr:col>3</xdr:col>
      <xdr:colOff>377334</xdr:colOff>
      <xdr:row>330</xdr:row>
      <xdr:rowOff>124656</xdr:rowOff>
    </xdr:from>
    <xdr:to>
      <xdr:col>4</xdr:col>
      <xdr:colOff>346379</xdr:colOff>
      <xdr:row>339</xdr:row>
      <xdr:rowOff>96081</xdr:rowOff>
    </xdr:to>
    <xdr:sp macro="" textlink="">
      <xdr:nvSpPr>
        <xdr:cNvPr id="162" name="Right Triangle 161">
          <a:extLst>
            <a:ext uri="{FF2B5EF4-FFF2-40B4-BE49-F238E27FC236}">
              <a16:creationId xmlns:a16="http://schemas.microsoft.com/office/drawing/2014/main" id="{952418EF-59A4-7057-7C97-CDD41660C78A}"/>
            </a:ext>
          </a:extLst>
        </xdr:cNvPr>
        <xdr:cNvSpPr/>
      </xdr:nvSpPr>
      <xdr:spPr bwMode="auto">
        <a:xfrm>
          <a:off x="1777509" y="60712767"/>
          <a:ext cx="657736" cy="2019300"/>
        </a:xfrm>
        <a:prstGeom prst="r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562424</xdr:colOff>
      <xdr:row>330</xdr:row>
      <xdr:rowOff>125898</xdr:rowOff>
    </xdr:from>
    <xdr:to>
      <xdr:col>6</xdr:col>
      <xdr:colOff>324714</xdr:colOff>
      <xdr:row>339</xdr:row>
      <xdr:rowOff>97323</xdr:rowOff>
    </xdr:to>
    <xdr:sp macro="" textlink="">
      <xdr:nvSpPr>
        <xdr:cNvPr id="163" name="Right Triangle 162">
          <a:extLst>
            <a:ext uri="{FF2B5EF4-FFF2-40B4-BE49-F238E27FC236}">
              <a16:creationId xmlns:a16="http://schemas.microsoft.com/office/drawing/2014/main" id="{3398001F-07A5-C492-9668-D71124B151C4}"/>
            </a:ext>
          </a:extLst>
        </xdr:cNvPr>
        <xdr:cNvSpPr/>
      </xdr:nvSpPr>
      <xdr:spPr bwMode="auto">
        <a:xfrm flipH="1">
          <a:off x="3365673" y="60714009"/>
          <a:ext cx="600542" cy="2019300"/>
        </a:xfrm>
        <a:prstGeom prst="r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377334</xdr:colOff>
      <xdr:row>330</xdr:row>
      <xdr:rowOff>31890</xdr:rowOff>
    </xdr:from>
    <xdr:to>
      <xdr:col>6</xdr:col>
      <xdr:colOff>327640</xdr:colOff>
      <xdr:row>330</xdr:row>
      <xdr:rowOff>117615</xdr:rowOff>
    </xdr:to>
    <xdr:sp macro="" textlink="">
      <xdr:nvSpPr>
        <xdr:cNvPr id="164" name="Rectangle 163">
          <a:extLst>
            <a:ext uri="{FF2B5EF4-FFF2-40B4-BE49-F238E27FC236}">
              <a16:creationId xmlns:a16="http://schemas.microsoft.com/office/drawing/2014/main" id="{EC37CB0B-7509-1135-2012-607839C22C61}"/>
            </a:ext>
          </a:extLst>
        </xdr:cNvPr>
        <xdr:cNvSpPr/>
      </xdr:nvSpPr>
      <xdr:spPr bwMode="auto">
        <a:xfrm>
          <a:off x="1777509" y="60600951"/>
          <a:ext cx="2192453" cy="104775"/>
        </a:xfrm>
        <a:prstGeom prst="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3</xdr:col>
      <xdr:colOff>377334</xdr:colOff>
      <xdr:row>339</xdr:row>
      <xdr:rowOff>97323</xdr:rowOff>
    </xdr:from>
    <xdr:to>
      <xdr:col>6</xdr:col>
      <xdr:colOff>327640</xdr:colOff>
      <xdr:row>339</xdr:row>
      <xdr:rowOff>183048</xdr:rowOff>
    </xdr:to>
    <xdr:sp macro="" textlink="">
      <xdr:nvSpPr>
        <xdr:cNvPr id="165" name="Rectangle 164">
          <a:extLst>
            <a:ext uri="{FF2B5EF4-FFF2-40B4-BE49-F238E27FC236}">
              <a16:creationId xmlns:a16="http://schemas.microsoft.com/office/drawing/2014/main" id="{AF18EF5F-8680-EA4B-C5CD-1FD1871566C4}"/>
            </a:ext>
          </a:extLst>
        </xdr:cNvPr>
        <xdr:cNvSpPr/>
      </xdr:nvSpPr>
      <xdr:spPr bwMode="auto">
        <a:xfrm>
          <a:off x="1777509" y="62733309"/>
          <a:ext cx="2192453" cy="104775"/>
        </a:xfrm>
        <a:prstGeom prst="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2</xdr:col>
      <xdr:colOff>461848</xdr:colOff>
      <xdr:row>330</xdr:row>
      <xdr:rowOff>116373</xdr:rowOff>
    </xdr:from>
    <xdr:to>
      <xdr:col>3</xdr:col>
      <xdr:colOff>381053</xdr:colOff>
      <xdr:row>339</xdr:row>
      <xdr:rowOff>97323</xdr:rowOff>
    </xdr:to>
    <xdr:sp macro="" textlink="">
      <xdr:nvSpPr>
        <xdr:cNvPr id="166" name="Rectangle 165">
          <a:extLst>
            <a:ext uri="{FF2B5EF4-FFF2-40B4-BE49-F238E27FC236}">
              <a16:creationId xmlns:a16="http://schemas.microsoft.com/office/drawing/2014/main" id="{498AF452-DA42-26EA-2366-FDED6DC9295F}"/>
            </a:ext>
          </a:extLst>
        </xdr:cNvPr>
        <xdr:cNvSpPr/>
      </xdr:nvSpPr>
      <xdr:spPr bwMode="auto">
        <a:xfrm>
          <a:off x="1191960" y="60704484"/>
          <a:ext cx="588801" cy="2028825"/>
        </a:xfrm>
        <a:prstGeom prst="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619125</xdr:colOff>
      <xdr:row>330</xdr:row>
      <xdr:rowOff>171450</xdr:rowOff>
    </xdr:from>
    <xdr:to>
      <xdr:col>8</xdr:col>
      <xdr:colOff>523875</xdr:colOff>
      <xdr:row>339</xdr:row>
      <xdr:rowOff>85725</xdr:rowOff>
    </xdr:to>
    <xdr:sp macro="" textlink="">
      <xdr:nvSpPr>
        <xdr:cNvPr id="11939" name="Right Triangle 167">
          <a:extLst>
            <a:ext uri="{FF2B5EF4-FFF2-40B4-BE49-F238E27FC236}">
              <a16:creationId xmlns:a16="http://schemas.microsoft.com/office/drawing/2014/main" id="{17EB4F07-3014-3E18-1775-5A477336099C}"/>
            </a:ext>
          </a:extLst>
        </xdr:cNvPr>
        <xdr:cNvSpPr>
          <a:spLocks noChangeArrowheads="1"/>
        </xdr:cNvSpPr>
      </xdr:nvSpPr>
      <xdr:spPr bwMode="auto">
        <a:xfrm>
          <a:off x="4876800" y="63569850"/>
          <a:ext cx="523875" cy="1628775"/>
        </a:xfrm>
        <a:prstGeom prst="rtTriangle">
          <a:avLst/>
        </a:prstGeom>
        <a:solidFill>
          <a:srgbClr val="F2F2F2"/>
        </a:solidFill>
        <a:ln w="25400" algn="ctr">
          <a:solidFill>
            <a:srgbClr val="000000"/>
          </a:solidFill>
          <a:miter lim="800000"/>
          <a:headEnd/>
          <a:tailEnd/>
        </a:ln>
      </xdr:spPr>
    </xdr:sp>
    <xdr:clientData/>
  </xdr:twoCellAnchor>
  <xdr:twoCellAnchor>
    <xdr:from>
      <xdr:col>1</xdr:col>
      <xdr:colOff>133350</xdr:colOff>
      <xdr:row>330</xdr:row>
      <xdr:rowOff>180975</xdr:rowOff>
    </xdr:from>
    <xdr:to>
      <xdr:col>1</xdr:col>
      <xdr:colOff>676275</xdr:colOff>
      <xdr:row>339</xdr:row>
      <xdr:rowOff>95250</xdr:rowOff>
    </xdr:to>
    <xdr:sp macro="" textlink="">
      <xdr:nvSpPr>
        <xdr:cNvPr id="11940" name="Right Triangle 168">
          <a:extLst>
            <a:ext uri="{FF2B5EF4-FFF2-40B4-BE49-F238E27FC236}">
              <a16:creationId xmlns:a16="http://schemas.microsoft.com/office/drawing/2014/main" id="{63DABE6D-9E78-6DAF-9F28-70FA12B38075}"/>
            </a:ext>
          </a:extLst>
        </xdr:cNvPr>
        <xdr:cNvSpPr>
          <a:spLocks noChangeArrowheads="1"/>
        </xdr:cNvSpPr>
      </xdr:nvSpPr>
      <xdr:spPr bwMode="auto">
        <a:xfrm flipH="1">
          <a:off x="742950" y="63579375"/>
          <a:ext cx="476250" cy="1628775"/>
        </a:xfrm>
        <a:prstGeom prst="rtTriangle">
          <a:avLst/>
        </a:prstGeom>
        <a:solidFill>
          <a:srgbClr val="F2F2F2"/>
        </a:solidFill>
        <a:ln w="25400" algn="ctr">
          <a:solidFill>
            <a:srgbClr val="000000"/>
          </a:solidFill>
          <a:miter lim="800000"/>
          <a:headEnd/>
          <a:tailEnd/>
        </a:ln>
      </xdr:spPr>
    </xdr:sp>
    <xdr:clientData/>
  </xdr:twoCellAnchor>
  <xdr:twoCellAnchor>
    <xdr:from>
      <xdr:col>1</xdr:col>
      <xdr:colOff>667633</xdr:colOff>
      <xdr:row>330</xdr:row>
      <xdr:rowOff>125898</xdr:rowOff>
    </xdr:from>
    <xdr:to>
      <xdr:col>2</xdr:col>
      <xdr:colOff>461416</xdr:colOff>
      <xdr:row>339</xdr:row>
      <xdr:rowOff>97323</xdr:rowOff>
    </xdr:to>
    <xdr:sp macro="" textlink="">
      <xdr:nvSpPr>
        <xdr:cNvPr id="170" name="Rectangle 169">
          <a:extLst>
            <a:ext uri="{FF2B5EF4-FFF2-40B4-BE49-F238E27FC236}">
              <a16:creationId xmlns:a16="http://schemas.microsoft.com/office/drawing/2014/main" id="{126F67ED-FF84-0A00-E549-B552EEF50C0D}"/>
            </a:ext>
          </a:extLst>
        </xdr:cNvPr>
        <xdr:cNvSpPr/>
      </xdr:nvSpPr>
      <xdr:spPr bwMode="auto">
        <a:xfrm>
          <a:off x="610483" y="60714009"/>
          <a:ext cx="581477" cy="2019300"/>
        </a:xfrm>
        <a:prstGeom prst="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7</xdr:col>
      <xdr:colOff>97414</xdr:colOff>
      <xdr:row>330</xdr:row>
      <xdr:rowOff>103121</xdr:rowOff>
    </xdr:from>
    <xdr:to>
      <xdr:col>7</xdr:col>
      <xdr:colOff>627738</xdr:colOff>
      <xdr:row>339</xdr:row>
      <xdr:rowOff>84071</xdr:rowOff>
    </xdr:to>
    <xdr:sp macro="" textlink="">
      <xdr:nvSpPr>
        <xdr:cNvPr id="274" name="Rectangle 273">
          <a:extLst>
            <a:ext uri="{FF2B5EF4-FFF2-40B4-BE49-F238E27FC236}">
              <a16:creationId xmlns:a16="http://schemas.microsoft.com/office/drawing/2014/main" id="{9D3D01C1-3214-A7E5-6D31-BCF07DF4E054}"/>
            </a:ext>
          </a:extLst>
        </xdr:cNvPr>
        <xdr:cNvSpPr/>
      </xdr:nvSpPr>
      <xdr:spPr bwMode="auto">
        <a:xfrm>
          <a:off x="4549730" y="60691232"/>
          <a:ext cx="588801" cy="2028825"/>
        </a:xfrm>
        <a:prstGeom prst="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6</xdr:col>
      <xdr:colOff>326804</xdr:colOff>
      <xdr:row>330</xdr:row>
      <xdr:rowOff>112646</xdr:rowOff>
    </xdr:from>
    <xdr:to>
      <xdr:col>7</xdr:col>
      <xdr:colOff>97492</xdr:colOff>
      <xdr:row>339</xdr:row>
      <xdr:rowOff>84071</xdr:rowOff>
    </xdr:to>
    <xdr:sp macro="" textlink="">
      <xdr:nvSpPr>
        <xdr:cNvPr id="275" name="Rectangle 274">
          <a:extLst>
            <a:ext uri="{FF2B5EF4-FFF2-40B4-BE49-F238E27FC236}">
              <a16:creationId xmlns:a16="http://schemas.microsoft.com/office/drawing/2014/main" id="{924FA0D5-1666-C8DD-480F-61434D05D4EC}"/>
            </a:ext>
          </a:extLst>
        </xdr:cNvPr>
        <xdr:cNvSpPr/>
      </xdr:nvSpPr>
      <xdr:spPr bwMode="auto">
        <a:xfrm>
          <a:off x="3968253" y="60700757"/>
          <a:ext cx="581477" cy="2019300"/>
        </a:xfrm>
        <a:prstGeom prst="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clientData/>
  </xdr:twoCellAnchor>
  <xdr:twoCellAnchor>
    <xdr:from>
      <xdr:col>5</xdr:col>
      <xdr:colOff>47625</xdr:colOff>
      <xdr:row>328</xdr:row>
      <xdr:rowOff>133350</xdr:rowOff>
    </xdr:from>
    <xdr:to>
      <xdr:col>5</xdr:col>
      <xdr:colOff>581025</xdr:colOff>
      <xdr:row>330</xdr:row>
      <xdr:rowOff>161925</xdr:rowOff>
    </xdr:to>
    <xdr:sp macro="" textlink="">
      <xdr:nvSpPr>
        <xdr:cNvPr id="9195" name="TextBox 280">
          <a:extLst>
            <a:ext uri="{FF2B5EF4-FFF2-40B4-BE49-F238E27FC236}">
              <a16:creationId xmlns:a16="http://schemas.microsoft.com/office/drawing/2014/main" id="{F84DA9DF-7906-24C7-C8F9-BD426DFF92BE}"/>
            </a:ext>
          </a:extLst>
        </xdr:cNvPr>
        <xdr:cNvSpPr txBox="1">
          <a:spLocks noChangeArrowheads="1"/>
        </xdr:cNvSpPr>
      </xdr:nvSpPr>
      <xdr:spPr bwMode="auto">
        <a:xfrm>
          <a:off x="2647950" y="59007375"/>
          <a:ext cx="533400" cy="409575"/>
        </a:xfrm>
        <a:prstGeom prst="rect">
          <a:avLst/>
        </a:prstGeom>
        <a:noFill/>
        <a:ln>
          <a:noFill/>
        </a:ln>
      </xdr:spPr>
      <xdr:txBody>
        <a:bodyPr vertOverflow="clip" wrap="square" lIns="91440" tIns="45720" rIns="91440" bIns="45720" anchor="t"/>
        <a:lstStyle/>
        <a:p>
          <a:pPr algn="l" rtl="0">
            <a:lnSpc>
              <a:spcPts val="900"/>
            </a:lnSpc>
            <a:defRPr sz="1000"/>
          </a:pPr>
          <a:r>
            <a:rPr lang="en-AU" sz="800" b="0" i="0" u="none" strike="noStrike" baseline="0">
              <a:solidFill>
                <a:srgbClr val="000000"/>
              </a:solidFill>
              <a:latin typeface="Calibri"/>
              <a:ea typeface="Calibri"/>
              <a:cs typeface="Calibri"/>
            </a:rPr>
            <a:t>kN/m</a:t>
          </a:r>
          <a:r>
            <a:rPr lang="en-AU" sz="800" b="0" i="0" u="none" strike="noStrike" baseline="30000">
              <a:solidFill>
                <a:srgbClr val="000000"/>
              </a:solidFill>
              <a:latin typeface="Calibri"/>
              <a:ea typeface="Calibri"/>
              <a:cs typeface="Calibri"/>
            </a:rPr>
            <a:t>2</a:t>
          </a:r>
        </a:p>
        <a:p>
          <a:pPr algn="l" rtl="0">
            <a:defRPr sz="1000"/>
          </a:pPr>
          <a:endParaRPr lang="en-AU" sz="800" b="0" i="0" u="none" strike="noStrike" baseline="0">
            <a:solidFill>
              <a:srgbClr val="000000"/>
            </a:solidFill>
            <a:latin typeface="Calibri"/>
            <a:ea typeface="Calibri"/>
            <a:cs typeface="Calibri"/>
          </a:endParaRPr>
        </a:p>
        <a:p>
          <a:pPr algn="l" rtl="0">
            <a:lnSpc>
              <a:spcPts val="900"/>
            </a:lnSpc>
            <a:defRPr sz="1000"/>
          </a:pPr>
          <a:endParaRPr lang="en-AU" sz="800" b="0" i="0" u="none" strike="noStrike" baseline="0">
            <a:solidFill>
              <a:srgbClr val="000000"/>
            </a:solidFill>
            <a:latin typeface="Calibri"/>
            <a:ea typeface="Calibri"/>
            <a:cs typeface="Calibri"/>
          </a:endParaRPr>
        </a:p>
      </xdr:txBody>
    </xdr:sp>
    <xdr:clientData/>
  </xdr:twoCellAnchor>
  <xdr:twoCellAnchor>
    <xdr:from>
      <xdr:col>4</xdr:col>
      <xdr:colOff>536469</xdr:colOff>
      <xdr:row>340</xdr:row>
      <xdr:rowOff>152760</xdr:rowOff>
    </xdr:from>
    <xdr:to>
      <xdr:col>5</xdr:col>
      <xdr:colOff>519482</xdr:colOff>
      <xdr:row>342</xdr:row>
      <xdr:rowOff>11955</xdr:rowOff>
    </xdr:to>
    <xdr:sp macro="" textlink="">
      <xdr:nvSpPr>
        <xdr:cNvPr id="2" name="TextBox 276">
          <a:extLst>
            <a:ext uri="{FF2B5EF4-FFF2-40B4-BE49-F238E27FC236}">
              <a16:creationId xmlns:a16="http://schemas.microsoft.com/office/drawing/2014/main" id="{E655114A-989D-99A5-8987-30553BA1798A}"/>
            </a:ext>
          </a:extLst>
        </xdr:cNvPr>
        <xdr:cNvSpPr txBox="1"/>
      </xdr:nvSpPr>
      <xdr:spPr>
        <a:xfrm>
          <a:off x="3720718" y="62912571"/>
          <a:ext cx="584563" cy="240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a:t>kN/m</a:t>
          </a:r>
          <a:r>
            <a:rPr lang="en-US" sz="800" baseline="30000"/>
            <a:t>2</a:t>
          </a:r>
        </a:p>
        <a:p>
          <a:endParaRPr lang="en-US" sz="800"/>
        </a:p>
        <a:p>
          <a:endParaRPr lang="en-US" sz="800"/>
        </a:p>
      </xdr:txBody>
    </xdr:sp>
    <xdr:clientData/>
  </xdr:twoCellAnchor>
  <xdr:twoCellAnchor>
    <xdr:from>
      <xdr:col>1</xdr:col>
      <xdr:colOff>295275</xdr:colOff>
      <xdr:row>107</xdr:row>
      <xdr:rowOff>66675</xdr:rowOff>
    </xdr:from>
    <xdr:to>
      <xdr:col>8</xdr:col>
      <xdr:colOff>0</xdr:colOff>
      <xdr:row>116</xdr:row>
      <xdr:rowOff>19050</xdr:rowOff>
    </xdr:to>
    <xdr:grpSp>
      <xdr:nvGrpSpPr>
        <xdr:cNvPr id="11946" name="Group 8292">
          <a:extLst>
            <a:ext uri="{FF2B5EF4-FFF2-40B4-BE49-F238E27FC236}">
              <a16:creationId xmlns:a16="http://schemas.microsoft.com/office/drawing/2014/main" id="{A4077560-CC50-A580-8B0A-1FC9AE821DB0}"/>
            </a:ext>
          </a:extLst>
        </xdr:cNvPr>
        <xdr:cNvGrpSpPr>
          <a:grpSpLocks/>
        </xdr:cNvGrpSpPr>
      </xdr:nvGrpSpPr>
      <xdr:grpSpPr bwMode="auto">
        <a:xfrm>
          <a:off x="904875" y="20850225"/>
          <a:ext cx="3971925" cy="1666875"/>
          <a:chOff x="95" y="1230"/>
          <a:chExt cx="474" cy="176"/>
        </a:xfrm>
      </xdr:grpSpPr>
      <xdr:sp macro="" textlink="">
        <xdr:nvSpPr>
          <xdr:cNvPr id="11967" name="Rectangle 60">
            <a:extLst>
              <a:ext uri="{FF2B5EF4-FFF2-40B4-BE49-F238E27FC236}">
                <a16:creationId xmlns:a16="http://schemas.microsoft.com/office/drawing/2014/main" id="{E60864A2-5552-D9CE-2243-1CA2B0F6F1C1}"/>
              </a:ext>
            </a:extLst>
          </xdr:cNvPr>
          <xdr:cNvSpPr>
            <a:spLocks noChangeArrowheads="1"/>
          </xdr:cNvSpPr>
        </xdr:nvSpPr>
        <xdr:spPr bwMode="auto">
          <a:xfrm>
            <a:off x="95" y="1230"/>
            <a:ext cx="442" cy="148"/>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968" name="Rectangle 64">
            <a:extLst>
              <a:ext uri="{FF2B5EF4-FFF2-40B4-BE49-F238E27FC236}">
                <a16:creationId xmlns:a16="http://schemas.microsoft.com/office/drawing/2014/main" id="{258D473F-666E-5DB0-81AD-C88E2BE87FD7}"/>
              </a:ext>
            </a:extLst>
          </xdr:cNvPr>
          <xdr:cNvSpPr>
            <a:spLocks noChangeArrowheads="1"/>
          </xdr:cNvSpPr>
        </xdr:nvSpPr>
        <xdr:spPr bwMode="auto">
          <a:xfrm>
            <a:off x="181" y="1279"/>
            <a:ext cx="82" cy="41"/>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xnSp macro="">
        <xdr:nvCxnSpPr>
          <xdr:cNvPr id="11969" name="Straight Connector 75">
            <a:extLst>
              <a:ext uri="{FF2B5EF4-FFF2-40B4-BE49-F238E27FC236}">
                <a16:creationId xmlns:a16="http://schemas.microsoft.com/office/drawing/2014/main" id="{00B7AD91-AEA1-263E-E6C6-A4956684676A}"/>
              </a:ext>
            </a:extLst>
          </xdr:cNvPr>
          <xdr:cNvCxnSpPr>
            <a:cxnSpLocks noChangeShapeType="1"/>
          </xdr:cNvCxnSpPr>
        </xdr:nvCxnSpPr>
        <xdr:spPr bwMode="auto">
          <a:xfrm>
            <a:off x="152" y="1401"/>
            <a:ext cx="13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970" name="Straight Connector 194">
            <a:extLst>
              <a:ext uri="{FF2B5EF4-FFF2-40B4-BE49-F238E27FC236}">
                <a16:creationId xmlns:a16="http://schemas.microsoft.com/office/drawing/2014/main" id="{97E3FDE8-9075-69CC-109A-066A9E64E0AA}"/>
              </a:ext>
            </a:extLst>
          </xdr:cNvPr>
          <xdr:cNvCxnSpPr>
            <a:cxnSpLocks noChangeShapeType="1"/>
          </xdr:cNvCxnSpPr>
        </xdr:nvCxnSpPr>
        <xdr:spPr bwMode="auto">
          <a:xfrm>
            <a:off x="558" y="1313"/>
            <a:ext cx="11" cy="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971" name="Straight Connector 195">
            <a:extLst>
              <a:ext uri="{FF2B5EF4-FFF2-40B4-BE49-F238E27FC236}">
                <a16:creationId xmlns:a16="http://schemas.microsoft.com/office/drawing/2014/main" id="{005678C3-5D9D-2EC7-21A1-DAB4F3B0B4DB}"/>
              </a:ext>
            </a:extLst>
          </xdr:cNvPr>
          <xdr:cNvCxnSpPr>
            <a:cxnSpLocks noChangeShapeType="1"/>
          </xdr:cNvCxnSpPr>
        </xdr:nvCxnSpPr>
        <xdr:spPr bwMode="auto">
          <a:xfrm flipV="1">
            <a:off x="544" y="1378"/>
            <a:ext cx="19"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972" name="Straight Connector 196">
            <a:extLst>
              <a:ext uri="{FF2B5EF4-FFF2-40B4-BE49-F238E27FC236}">
                <a16:creationId xmlns:a16="http://schemas.microsoft.com/office/drawing/2014/main" id="{4AB5A1D8-5F09-78DF-2001-A68773FF4276}"/>
              </a:ext>
            </a:extLst>
          </xdr:cNvPr>
          <xdr:cNvCxnSpPr>
            <a:cxnSpLocks noChangeShapeType="1"/>
          </xdr:cNvCxnSpPr>
        </xdr:nvCxnSpPr>
        <xdr:spPr bwMode="auto">
          <a:xfrm flipV="1">
            <a:off x="558" y="1375"/>
            <a:ext cx="9" cy="6"/>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973" name="Straight Connector 211">
            <a:extLst>
              <a:ext uri="{FF2B5EF4-FFF2-40B4-BE49-F238E27FC236}">
                <a16:creationId xmlns:a16="http://schemas.microsoft.com/office/drawing/2014/main" id="{74E20716-60D7-2062-EA9D-C9FA4D655CE7}"/>
              </a:ext>
            </a:extLst>
          </xdr:cNvPr>
          <xdr:cNvCxnSpPr>
            <a:cxnSpLocks noChangeShapeType="1"/>
          </xdr:cNvCxnSpPr>
        </xdr:nvCxnSpPr>
        <xdr:spPr bwMode="auto">
          <a:xfrm rot="16200000" flipV="1">
            <a:off x="145" y="1393"/>
            <a:ext cx="16"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974" name="Straight Connector 213">
            <a:extLst>
              <a:ext uri="{FF2B5EF4-FFF2-40B4-BE49-F238E27FC236}">
                <a16:creationId xmlns:a16="http://schemas.microsoft.com/office/drawing/2014/main" id="{E6E20AA3-B4A5-0341-C8E1-0B282D4197DF}"/>
              </a:ext>
            </a:extLst>
          </xdr:cNvPr>
          <xdr:cNvCxnSpPr>
            <a:cxnSpLocks noChangeShapeType="1"/>
          </xdr:cNvCxnSpPr>
        </xdr:nvCxnSpPr>
        <xdr:spPr bwMode="auto">
          <a:xfrm>
            <a:off x="148" y="1398"/>
            <a:ext cx="11" cy="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1975" name="Line 8301">
            <a:extLst>
              <a:ext uri="{FF2B5EF4-FFF2-40B4-BE49-F238E27FC236}">
                <a16:creationId xmlns:a16="http://schemas.microsoft.com/office/drawing/2014/main" id="{CE31B99A-52DA-202C-1E2F-7ED5292A10D9}"/>
              </a:ext>
            </a:extLst>
          </xdr:cNvPr>
          <xdr:cNvSpPr>
            <a:spLocks noChangeShapeType="1"/>
          </xdr:cNvSpPr>
        </xdr:nvSpPr>
        <xdr:spPr bwMode="auto">
          <a:xfrm flipH="1">
            <a:off x="153" y="1322"/>
            <a:ext cx="28" cy="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976" name="Line 8302">
            <a:extLst>
              <a:ext uri="{FF2B5EF4-FFF2-40B4-BE49-F238E27FC236}">
                <a16:creationId xmlns:a16="http://schemas.microsoft.com/office/drawing/2014/main" id="{1638495D-766C-0951-4026-244328D477CD}"/>
              </a:ext>
            </a:extLst>
          </xdr:cNvPr>
          <xdr:cNvSpPr>
            <a:spLocks noChangeShapeType="1"/>
          </xdr:cNvSpPr>
        </xdr:nvSpPr>
        <xdr:spPr bwMode="auto">
          <a:xfrm>
            <a:off x="263" y="1321"/>
            <a:ext cx="23" cy="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977" name="Line 8303">
            <a:extLst>
              <a:ext uri="{FF2B5EF4-FFF2-40B4-BE49-F238E27FC236}">
                <a16:creationId xmlns:a16="http://schemas.microsoft.com/office/drawing/2014/main" id="{B44DBBB1-8091-ACC6-42AA-0F1148E779C6}"/>
              </a:ext>
            </a:extLst>
          </xdr:cNvPr>
          <xdr:cNvSpPr>
            <a:spLocks noChangeShapeType="1"/>
          </xdr:cNvSpPr>
        </xdr:nvSpPr>
        <xdr:spPr bwMode="auto">
          <a:xfrm flipH="1">
            <a:off x="330" y="1322"/>
            <a:ext cx="25" cy="5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978" name="Line 8304">
            <a:extLst>
              <a:ext uri="{FF2B5EF4-FFF2-40B4-BE49-F238E27FC236}">
                <a16:creationId xmlns:a16="http://schemas.microsoft.com/office/drawing/2014/main" id="{95C190D6-5DEB-D832-6CEA-D48950A7D206}"/>
              </a:ext>
            </a:extLst>
          </xdr:cNvPr>
          <xdr:cNvSpPr>
            <a:spLocks noChangeShapeType="1"/>
          </xdr:cNvSpPr>
        </xdr:nvSpPr>
        <xdr:spPr bwMode="auto">
          <a:xfrm>
            <a:off x="436" y="1320"/>
            <a:ext cx="26" cy="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979" name="Rectangle 64">
            <a:extLst>
              <a:ext uri="{FF2B5EF4-FFF2-40B4-BE49-F238E27FC236}">
                <a16:creationId xmlns:a16="http://schemas.microsoft.com/office/drawing/2014/main" id="{3BFB705B-BFBE-2FA8-5874-CB500D3DF5C5}"/>
              </a:ext>
            </a:extLst>
          </xdr:cNvPr>
          <xdr:cNvSpPr>
            <a:spLocks noChangeArrowheads="1"/>
          </xdr:cNvSpPr>
        </xdr:nvSpPr>
        <xdr:spPr bwMode="auto">
          <a:xfrm>
            <a:off x="355" y="1280"/>
            <a:ext cx="82" cy="41"/>
          </a:xfrm>
          <a:prstGeom prst="rect">
            <a:avLst/>
          </a:prstGeom>
          <a:noFill/>
          <a:ln w="2540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980" name="Line 8306">
            <a:extLst>
              <a:ext uri="{FF2B5EF4-FFF2-40B4-BE49-F238E27FC236}">
                <a16:creationId xmlns:a16="http://schemas.microsoft.com/office/drawing/2014/main" id="{68174F56-29BB-E1CE-3BC4-89B533959567}"/>
              </a:ext>
            </a:extLst>
          </xdr:cNvPr>
          <xdr:cNvSpPr>
            <a:spLocks noChangeShapeType="1"/>
          </xdr:cNvSpPr>
        </xdr:nvSpPr>
        <xdr:spPr bwMode="auto">
          <a:xfrm>
            <a:off x="563" y="1317"/>
            <a:ext cx="0" cy="6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981" name="Line 8307">
            <a:extLst>
              <a:ext uri="{FF2B5EF4-FFF2-40B4-BE49-F238E27FC236}">
                <a16:creationId xmlns:a16="http://schemas.microsoft.com/office/drawing/2014/main" id="{5F42DE44-1950-284E-2C21-A65B28C1278C}"/>
              </a:ext>
            </a:extLst>
          </xdr:cNvPr>
          <xdr:cNvSpPr>
            <a:spLocks noChangeShapeType="1"/>
          </xdr:cNvSpPr>
        </xdr:nvSpPr>
        <xdr:spPr bwMode="auto">
          <a:xfrm flipH="1">
            <a:off x="547" y="1318"/>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xnSp macro="">
        <xdr:nvCxnSpPr>
          <xdr:cNvPr id="11982" name="Straight Connector 211">
            <a:extLst>
              <a:ext uri="{FF2B5EF4-FFF2-40B4-BE49-F238E27FC236}">
                <a16:creationId xmlns:a16="http://schemas.microsoft.com/office/drawing/2014/main" id="{BFA82648-F5FD-7579-204B-160F76CDE886}"/>
              </a:ext>
            </a:extLst>
          </xdr:cNvPr>
          <xdr:cNvCxnSpPr>
            <a:cxnSpLocks noChangeShapeType="1"/>
          </xdr:cNvCxnSpPr>
        </xdr:nvCxnSpPr>
        <xdr:spPr bwMode="auto">
          <a:xfrm rot="16200000" flipV="1">
            <a:off x="279" y="1393"/>
            <a:ext cx="16"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1983" name="Line 8309">
            <a:extLst>
              <a:ext uri="{FF2B5EF4-FFF2-40B4-BE49-F238E27FC236}">
                <a16:creationId xmlns:a16="http://schemas.microsoft.com/office/drawing/2014/main" id="{56352DC2-F5E3-0FE5-6775-D4CE09BA22DA}"/>
              </a:ext>
            </a:extLst>
          </xdr:cNvPr>
          <xdr:cNvSpPr>
            <a:spLocks noChangeShapeType="1"/>
          </xdr:cNvSpPr>
        </xdr:nvSpPr>
        <xdr:spPr bwMode="auto">
          <a:xfrm flipH="1">
            <a:off x="283" y="1397"/>
            <a:ext cx="9" cy="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xnSp macro="">
        <xdr:nvCxnSpPr>
          <xdr:cNvPr id="11984" name="Straight Connector 75">
            <a:extLst>
              <a:ext uri="{FF2B5EF4-FFF2-40B4-BE49-F238E27FC236}">
                <a16:creationId xmlns:a16="http://schemas.microsoft.com/office/drawing/2014/main" id="{0801F48F-1A45-DD72-C7B0-64A51F5A8D54}"/>
              </a:ext>
            </a:extLst>
          </xdr:cNvPr>
          <xdr:cNvCxnSpPr>
            <a:cxnSpLocks noChangeShapeType="1"/>
          </xdr:cNvCxnSpPr>
        </xdr:nvCxnSpPr>
        <xdr:spPr bwMode="auto">
          <a:xfrm>
            <a:off x="330" y="1401"/>
            <a:ext cx="13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985" name="Straight Connector 211">
            <a:extLst>
              <a:ext uri="{FF2B5EF4-FFF2-40B4-BE49-F238E27FC236}">
                <a16:creationId xmlns:a16="http://schemas.microsoft.com/office/drawing/2014/main" id="{007BBD44-B015-F354-7AE4-8513D4C07D9B}"/>
              </a:ext>
            </a:extLst>
          </xdr:cNvPr>
          <xdr:cNvCxnSpPr>
            <a:cxnSpLocks noChangeShapeType="1"/>
          </xdr:cNvCxnSpPr>
        </xdr:nvCxnSpPr>
        <xdr:spPr bwMode="auto">
          <a:xfrm rot="16200000" flipV="1">
            <a:off x="323" y="1393"/>
            <a:ext cx="16"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986" name="Straight Connector 213">
            <a:extLst>
              <a:ext uri="{FF2B5EF4-FFF2-40B4-BE49-F238E27FC236}">
                <a16:creationId xmlns:a16="http://schemas.microsoft.com/office/drawing/2014/main" id="{DF8D4C39-6B80-5C43-0A96-6A2078590DAE}"/>
              </a:ext>
            </a:extLst>
          </xdr:cNvPr>
          <xdr:cNvCxnSpPr>
            <a:cxnSpLocks noChangeShapeType="1"/>
          </xdr:cNvCxnSpPr>
        </xdr:nvCxnSpPr>
        <xdr:spPr bwMode="auto">
          <a:xfrm>
            <a:off x="326" y="1398"/>
            <a:ext cx="11" cy="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1987" name="Straight Connector 211">
            <a:extLst>
              <a:ext uri="{FF2B5EF4-FFF2-40B4-BE49-F238E27FC236}">
                <a16:creationId xmlns:a16="http://schemas.microsoft.com/office/drawing/2014/main" id="{BC8AF8BB-7E32-F8F8-17EA-57973DBD4368}"/>
              </a:ext>
            </a:extLst>
          </xdr:cNvPr>
          <xdr:cNvCxnSpPr>
            <a:cxnSpLocks noChangeShapeType="1"/>
          </xdr:cNvCxnSpPr>
        </xdr:nvCxnSpPr>
        <xdr:spPr bwMode="auto">
          <a:xfrm rot="16200000" flipV="1">
            <a:off x="457" y="1393"/>
            <a:ext cx="16"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1988" name="Line 8314">
            <a:extLst>
              <a:ext uri="{FF2B5EF4-FFF2-40B4-BE49-F238E27FC236}">
                <a16:creationId xmlns:a16="http://schemas.microsoft.com/office/drawing/2014/main" id="{64390AAD-6783-378A-6DBA-86EB6C7815C1}"/>
              </a:ext>
            </a:extLst>
          </xdr:cNvPr>
          <xdr:cNvSpPr>
            <a:spLocks noChangeShapeType="1"/>
          </xdr:cNvSpPr>
        </xdr:nvSpPr>
        <xdr:spPr bwMode="auto">
          <a:xfrm flipH="1">
            <a:off x="461" y="1397"/>
            <a:ext cx="9" cy="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1989" name="Line 8315">
            <a:extLst>
              <a:ext uri="{FF2B5EF4-FFF2-40B4-BE49-F238E27FC236}">
                <a16:creationId xmlns:a16="http://schemas.microsoft.com/office/drawing/2014/main" id="{1D81F45E-9354-3693-824B-FCBF37B02C73}"/>
              </a:ext>
            </a:extLst>
          </xdr:cNvPr>
          <xdr:cNvSpPr>
            <a:spLocks noChangeShapeType="1"/>
          </xdr:cNvSpPr>
        </xdr:nvSpPr>
        <xdr:spPr bwMode="auto">
          <a:xfrm>
            <a:off x="287" y="1401"/>
            <a:ext cx="4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533400</xdr:colOff>
      <xdr:row>427</xdr:row>
      <xdr:rowOff>76200</xdr:rowOff>
    </xdr:from>
    <xdr:to>
      <xdr:col>6</xdr:col>
      <xdr:colOff>266700</xdr:colOff>
      <xdr:row>435</xdr:row>
      <xdr:rowOff>180975</xdr:rowOff>
    </xdr:to>
    <xdr:sp macro="" textlink="">
      <xdr:nvSpPr>
        <xdr:cNvPr id="11947" name="Rectangle 8316">
          <a:extLst>
            <a:ext uri="{FF2B5EF4-FFF2-40B4-BE49-F238E27FC236}">
              <a16:creationId xmlns:a16="http://schemas.microsoft.com/office/drawing/2014/main" id="{06FEFBED-9CC8-6345-5E2B-9F87F2D6FAA4}"/>
            </a:ext>
          </a:extLst>
        </xdr:cNvPr>
        <xdr:cNvSpPr>
          <a:spLocks noChangeArrowheads="1"/>
        </xdr:cNvSpPr>
      </xdr:nvSpPr>
      <xdr:spPr bwMode="auto">
        <a:xfrm>
          <a:off x="1752600" y="82019775"/>
          <a:ext cx="2171700" cy="1628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266700</xdr:colOff>
      <xdr:row>427</xdr:row>
      <xdr:rowOff>76200</xdr:rowOff>
    </xdr:from>
    <xdr:to>
      <xdr:col>8</xdr:col>
      <xdr:colOff>152400</xdr:colOff>
      <xdr:row>427</xdr:row>
      <xdr:rowOff>76200</xdr:rowOff>
    </xdr:to>
    <xdr:sp macro="" textlink="">
      <xdr:nvSpPr>
        <xdr:cNvPr id="11948" name="Line 8319">
          <a:extLst>
            <a:ext uri="{FF2B5EF4-FFF2-40B4-BE49-F238E27FC236}">
              <a16:creationId xmlns:a16="http://schemas.microsoft.com/office/drawing/2014/main" id="{372447A6-301B-8DDF-21C8-AE3361336836}"/>
            </a:ext>
          </a:extLst>
        </xdr:cNvPr>
        <xdr:cNvSpPr>
          <a:spLocks noChangeShapeType="1"/>
        </xdr:cNvSpPr>
      </xdr:nvSpPr>
      <xdr:spPr bwMode="auto">
        <a:xfrm flipH="1">
          <a:off x="3314700" y="82019775"/>
          <a:ext cx="171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28575</xdr:colOff>
      <xdr:row>427</xdr:row>
      <xdr:rowOff>76200</xdr:rowOff>
    </xdr:from>
    <xdr:to>
      <xdr:col>7</xdr:col>
      <xdr:colOff>600075</xdr:colOff>
      <xdr:row>427</xdr:row>
      <xdr:rowOff>76200</xdr:rowOff>
    </xdr:to>
    <xdr:sp macro="" textlink="">
      <xdr:nvSpPr>
        <xdr:cNvPr id="11949" name="Line 8320">
          <a:extLst>
            <a:ext uri="{FF2B5EF4-FFF2-40B4-BE49-F238E27FC236}">
              <a16:creationId xmlns:a16="http://schemas.microsoft.com/office/drawing/2014/main" id="{F9AE1DA7-BDA9-DF38-DC55-DA103E67EA1B}"/>
            </a:ext>
          </a:extLst>
        </xdr:cNvPr>
        <xdr:cNvSpPr>
          <a:spLocks noChangeShapeType="1"/>
        </xdr:cNvSpPr>
      </xdr:nvSpPr>
      <xdr:spPr bwMode="auto">
        <a:xfrm flipH="1">
          <a:off x="3076575" y="82019775"/>
          <a:ext cx="1790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19050</xdr:colOff>
      <xdr:row>471</xdr:row>
      <xdr:rowOff>76200</xdr:rowOff>
    </xdr:from>
    <xdr:to>
      <xdr:col>8</xdr:col>
      <xdr:colOff>19050</xdr:colOff>
      <xdr:row>492</xdr:row>
      <xdr:rowOff>0</xdr:rowOff>
    </xdr:to>
    <xdr:grpSp>
      <xdr:nvGrpSpPr>
        <xdr:cNvPr id="11950" name="Group 104">
          <a:extLst>
            <a:ext uri="{FF2B5EF4-FFF2-40B4-BE49-F238E27FC236}">
              <a16:creationId xmlns:a16="http://schemas.microsoft.com/office/drawing/2014/main" id="{AD4DE29F-E6ED-4E7F-FC70-10D14FCE6027}"/>
            </a:ext>
          </a:extLst>
        </xdr:cNvPr>
        <xdr:cNvGrpSpPr>
          <a:grpSpLocks/>
        </xdr:cNvGrpSpPr>
      </xdr:nvGrpSpPr>
      <xdr:grpSpPr bwMode="auto">
        <a:xfrm>
          <a:off x="1238250" y="90401775"/>
          <a:ext cx="3657600" cy="3962400"/>
          <a:chOff x="1241117" y="28819914"/>
          <a:chExt cx="2772126" cy="2713243"/>
        </a:xfrm>
      </xdr:grpSpPr>
      <xdr:sp macro="" textlink="">
        <xdr:nvSpPr>
          <xdr:cNvPr id="153" name="Rectangle 152">
            <a:extLst>
              <a:ext uri="{FF2B5EF4-FFF2-40B4-BE49-F238E27FC236}">
                <a16:creationId xmlns:a16="http://schemas.microsoft.com/office/drawing/2014/main" id="{4C83DD51-BE88-A0E0-E3D5-52FD42B18E40}"/>
              </a:ext>
            </a:extLst>
          </xdr:cNvPr>
          <xdr:cNvSpPr/>
        </xdr:nvSpPr>
        <xdr:spPr>
          <a:xfrm>
            <a:off x="1241117" y="29041669"/>
            <a:ext cx="2772126" cy="249148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sp macro="" textlink="">
        <xdr:nvSpPr>
          <xdr:cNvPr id="154" name="TextBox 153">
            <a:extLst>
              <a:ext uri="{FF2B5EF4-FFF2-40B4-BE49-F238E27FC236}">
                <a16:creationId xmlns:a16="http://schemas.microsoft.com/office/drawing/2014/main" id="{F6D0913D-79FA-37C8-FFF9-EE0BF164AC80}"/>
              </a:ext>
            </a:extLst>
          </xdr:cNvPr>
          <xdr:cNvSpPr txBox="1"/>
        </xdr:nvSpPr>
        <xdr:spPr>
          <a:xfrm>
            <a:off x="1248336" y="28819914"/>
            <a:ext cx="295982" cy="195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B</a:t>
            </a:r>
          </a:p>
        </xdr:txBody>
      </xdr:sp>
      <xdr:sp macro="" textlink="">
        <xdr:nvSpPr>
          <xdr:cNvPr id="155" name="TextBox 154">
            <a:extLst>
              <a:ext uri="{FF2B5EF4-FFF2-40B4-BE49-F238E27FC236}">
                <a16:creationId xmlns:a16="http://schemas.microsoft.com/office/drawing/2014/main" id="{3AA29FED-E1EC-6672-01F4-638BEAED2447}"/>
              </a:ext>
            </a:extLst>
          </xdr:cNvPr>
          <xdr:cNvSpPr txBox="1"/>
        </xdr:nvSpPr>
        <xdr:spPr>
          <a:xfrm>
            <a:off x="3688384" y="31233135"/>
            <a:ext cx="303201" cy="273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D</a:t>
            </a:r>
          </a:p>
        </xdr:txBody>
      </xdr:sp>
      <xdr:sp macro="" textlink="">
        <xdr:nvSpPr>
          <xdr:cNvPr id="156" name="TextBox 155">
            <a:extLst>
              <a:ext uri="{FF2B5EF4-FFF2-40B4-BE49-F238E27FC236}">
                <a16:creationId xmlns:a16="http://schemas.microsoft.com/office/drawing/2014/main" id="{829BA1CE-8F70-255D-F307-B96D267BF08D}"/>
              </a:ext>
            </a:extLst>
          </xdr:cNvPr>
          <xdr:cNvSpPr txBox="1"/>
        </xdr:nvSpPr>
        <xdr:spPr>
          <a:xfrm>
            <a:off x="3710042" y="28819914"/>
            <a:ext cx="295982" cy="195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C</a:t>
            </a:r>
          </a:p>
        </xdr:txBody>
      </xdr:sp>
      <xdr:sp macro="" textlink="">
        <xdr:nvSpPr>
          <xdr:cNvPr id="157" name="TextBox 156">
            <a:extLst>
              <a:ext uri="{FF2B5EF4-FFF2-40B4-BE49-F238E27FC236}">
                <a16:creationId xmlns:a16="http://schemas.microsoft.com/office/drawing/2014/main" id="{139DBAE8-9DCE-33E4-79E3-3FE7CAE14CF8}"/>
              </a:ext>
            </a:extLst>
          </xdr:cNvPr>
          <xdr:cNvSpPr txBox="1"/>
        </xdr:nvSpPr>
        <xdr:spPr>
          <a:xfrm>
            <a:off x="1262774" y="31239657"/>
            <a:ext cx="295982" cy="273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A</a:t>
            </a:r>
          </a:p>
        </xdr:txBody>
      </xdr:sp>
    </xdr:grpSp>
    <xdr:clientData/>
  </xdr:twoCellAnchor>
  <xdr:twoCellAnchor>
    <xdr:from>
      <xdr:col>3</xdr:col>
      <xdr:colOff>600075</xdr:colOff>
      <xdr:row>479</xdr:row>
      <xdr:rowOff>161925</xdr:rowOff>
    </xdr:from>
    <xdr:to>
      <xdr:col>4</xdr:col>
      <xdr:colOff>481013</xdr:colOff>
      <xdr:row>482</xdr:row>
      <xdr:rowOff>166687</xdr:rowOff>
    </xdr:to>
    <xdr:sp macro="" textlink="">
      <xdr:nvSpPr>
        <xdr:cNvPr id="9351" name="TextBox 157">
          <a:extLst>
            <a:ext uri="{FF2B5EF4-FFF2-40B4-BE49-F238E27FC236}">
              <a16:creationId xmlns:a16="http://schemas.microsoft.com/office/drawing/2014/main" id="{3913F5FF-3623-D18B-87B6-776B05ECE3CB}"/>
            </a:ext>
          </a:extLst>
        </xdr:cNvPr>
        <xdr:cNvSpPr txBox="1">
          <a:spLocks noChangeArrowheads="1"/>
        </xdr:cNvSpPr>
      </xdr:nvSpPr>
      <xdr:spPr bwMode="auto">
        <a:xfrm rot="10800000">
          <a:off x="2428875" y="91916250"/>
          <a:ext cx="490538" cy="576262"/>
        </a:xfrm>
        <a:prstGeom prst="rect">
          <a:avLst/>
        </a:prstGeom>
        <a:solidFill>
          <a:srgbClr val="FFFFFF"/>
        </a:solidFill>
        <a:ln>
          <a:noFill/>
        </a:ln>
      </xdr:spPr>
      <xdr:txBody>
        <a:bodyPr vertOverflow="clip" vert="vert" wrap="square" lIns="91440" tIns="45720" rIns="91440" bIns="45720" anchor="b"/>
        <a:lstStyle/>
        <a:p>
          <a:pPr algn="l" rtl="0">
            <a:defRPr sz="1000"/>
          </a:pPr>
          <a:r>
            <a:rPr lang="en-AU" sz="900" b="0" i="0" u="none" strike="noStrike" baseline="0">
              <a:solidFill>
                <a:srgbClr val="000000"/>
              </a:solidFill>
              <a:latin typeface="Calibri"/>
              <a:ea typeface="Calibri"/>
              <a:cs typeface="Calibri"/>
            </a:rPr>
            <a:t>Max Span Moment</a:t>
          </a:r>
        </a:p>
      </xdr:txBody>
    </xdr:sp>
    <xdr:clientData/>
  </xdr:twoCellAnchor>
  <xdr:twoCellAnchor>
    <xdr:from>
      <xdr:col>5</xdr:col>
      <xdr:colOff>295275</xdr:colOff>
      <xdr:row>480</xdr:row>
      <xdr:rowOff>0</xdr:rowOff>
    </xdr:from>
    <xdr:to>
      <xdr:col>6</xdr:col>
      <xdr:colOff>176213</xdr:colOff>
      <xdr:row>483</xdr:row>
      <xdr:rowOff>4762</xdr:rowOff>
    </xdr:to>
    <xdr:sp macro="" textlink="">
      <xdr:nvSpPr>
        <xdr:cNvPr id="9352" name="TextBox 158">
          <a:extLst>
            <a:ext uri="{FF2B5EF4-FFF2-40B4-BE49-F238E27FC236}">
              <a16:creationId xmlns:a16="http://schemas.microsoft.com/office/drawing/2014/main" id="{E8BA9115-32BA-B496-7D37-4C4F29A351BB}"/>
            </a:ext>
          </a:extLst>
        </xdr:cNvPr>
        <xdr:cNvSpPr txBox="1">
          <a:spLocks noChangeArrowheads="1"/>
        </xdr:cNvSpPr>
      </xdr:nvSpPr>
      <xdr:spPr bwMode="auto">
        <a:xfrm rot="10800000">
          <a:off x="3343275" y="91944825"/>
          <a:ext cx="490538" cy="576262"/>
        </a:xfrm>
        <a:prstGeom prst="rect">
          <a:avLst/>
        </a:prstGeom>
        <a:solidFill>
          <a:srgbClr val="FFFFFF"/>
        </a:solidFill>
        <a:ln>
          <a:noFill/>
        </a:ln>
      </xdr:spPr>
      <xdr:txBody>
        <a:bodyPr vertOverflow="clip" vert="vert270" wrap="square" lIns="91440" tIns="45720" rIns="91440" bIns="45720" anchor="t"/>
        <a:lstStyle/>
        <a:p>
          <a:pPr algn="r" rtl="0">
            <a:defRPr sz="1000"/>
          </a:pPr>
          <a:r>
            <a:rPr lang="en-AU" sz="900" b="0" i="0" u="none" strike="noStrike" baseline="0">
              <a:solidFill>
                <a:srgbClr val="000000"/>
              </a:solidFill>
              <a:latin typeface="Calibri"/>
              <a:ea typeface="Calibri"/>
              <a:cs typeface="Calibri"/>
            </a:rPr>
            <a:t>Max Span Moment</a:t>
          </a:r>
        </a:p>
      </xdr:txBody>
    </xdr:sp>
    <xdr:clientData/>
  </xdr:twoCellAnchor>
  <xdr:twoCellAnchor>
    <xdr:from>
      <xdr:col>3</xdr:col>
      <xdr:colOff>123825</xdr:colOff>
      <xdr:row>476</xdr:row>
      <xdr:rowOff>161925</xdr:rowOff>
    </xdr:from>
    <xdr:to>
      <xdr:col>3</xdr:col>
      <xdr:colOff>476250</xdr:colOff>
      <xdr:row>479</xdr:row>
      <xdr:rowOff>180975</xdr:rowOff>
    </xdr:to>
    <xdr:sp macro="" textlink="">
      <xdr:nvSpPr>
        <xdr:cNvPr id="9353" name="Text Box 8329">
          <a:extLst>
            <a:ext uri="{FF2B5EF4-FFF2-40B4-BE49-F238E27FC236}">
              <a16:creationId xmlns:a16="http://schemas.microsoft.com/office/drawing/2014/main" id="{6FF15AC7-7E6D-9F16-0932-9544DD408C5C}"/>
            </a:ext>
          </a:extLst>
        </xdr:cNvPr>
        <xdr:cNvSpPr txBox="1">
          <a:spLocks noChangeArrowheads="1"/>
        </xdr:cNvSpPr>
      </xdr:nvSpPr>
      <xdr:spPr bwMode="auto">
        <a:xfrm>
          <a:off x="1485900" y="90192225"/>
          <a:ext cx="352425" cy="590550"/>
        </a:xfrm>
        <a:prstGeom prst="rect">
          <a:avLst/>
        </a:prstGeom>
        <a:noFill/>
        <a:ln>
          <a:noFill/>
        </a:ln>
      </xdr:spPr>
      <xdr:txBody>
        <a:bodyPr vertOverflow="clip" vert="vert270" wrap="square" lIns="27432" tIns="27432" rIns="27432" bIns="27432" anchor="ctr" upright="1"/>
        <a:lstStyle/>
        <a:p>
          <a:pPr algn="ctr" rtl="0">
            <a:defRPr sz="1000"/>
          </a:pPr>
          <a:r>
            <a:rPr lang="en-AU" sz="1100" b="0" i="0" u="none" strike="noStrike" baseline="0">
              <a:solidFill>
                <a:srgbClr val="000000"/>
              </a:solidFill>
              <a:latin typeface="Calibri"/>
              <a:ea typeface="Calibri"/>
              <a:cs typeface="Calibri"/>
            </a:rPr>
            <a:t>kNm</a:t>
          </a:r>
        </a:p>
      </xdr:txBody>
    </xdr:sp>
    <xdr:clientData/>
  </xdr:twoCellAnchor>
  <xdr:twoCellAnchor>
    <xdr:from>
      <xdr:col>6</xdr:col>
      <xdr:colOff>219075</xdr:colOff>
      <xdr:row>483</xdr:row>
      <xdr:rowOff>0</xdr:rowOff>
    </xdr:from>
    <xdr:to>
      <xdr:col>6</xdr:col>
      <xdr:colOff>571500</xdr:colOff>
      <xdr:row>486</xdr:row>
      <xdr:rowOff>19050</xdr:rowOff>
    </xdr:to>
    <xdr:sp macro="" textlink="">
      <xdr:nvSpPr>
        <xdr:cNvPr id="9354" name="Text Box 8330">
          <a:extLst>
            <a:ext uri="{FF2B5EF4-FFF2-40B4-BE49-F238E27FC236}">
              <a16:creationId xmlns:a16="http://schemas.microsoft.com/office/drawing/2014/main" id="{86447FBE-FE05-F320-1700-D87F6F62F629}"/>
            </a:ext>
          </a:extLst>
        </xdr:cNvPr>
        <xdr:cNvSpPr txBox="1">
          <a:spLocks noChangeArrowheads="1"/>
        </xdr:cNvSpPr>
      </xdr:nvSpPr>
      <xdr:spPr bwMode="auto">
        <a:xfrm>
          <a:off x="3590925" y="91363800"/>
          <a:ext cx="352425" cy="590550"/>
        </a:xfrm>
        <a:prstGeom prst="rect">
          <a:avLst/>
        </a:prstGeom>
        <a:noFill/>
        <a:ln>
          <a:noFill/>
        </a:ln>
      </xdr:spPr>
      <xdr:txBody>
        <a:bodyPr vertOverflow="clip" vert="vert" wrap="square" lIns="27432" tIns="27432" rIns="27432" bIns="27432" anchor="ctr" upright="1"/>
        <a:lstStyle/>
        <a:p>
          <a:pPr algn="ctr" rtl="0">
            <a:defRPr sz="1000"/>
          </a:pPr>
          <a:r>
            <a:rPr lang="en-AU" sz="1100" b="0" i="0" u="none" strike="noStrike" baseline="0">
              <a:solidFill>
                <a:srgbClr val="000000"/>
              </a:solidFill>
              <a:latin typeface="Calibri"/>
              <a:ea typeface="Calibri"/>
              <a:cs typeface="Calibri"/>
            </a:rPr>
            <a:t>kNm</a:t>
          </a:r>
        </a:p>
      </xdr:txBody>
    </xdr:sp>
    <xdr:clientData/>
  </xdr:twoCellAnchor>
  <xdr:twoCellAnchor editAs="oneCell">
    <xdr:from>
      <xdr:col>0</xdr:col>
      <xdr:colOff>38100</xdr:colOff>
      <xdr:row>0</xdr:row>
      <xdr:rowOff>47625</xdr:rowOff>
    </xdr:from>
    <xdr:to>
      <xdr:col>1</xdr:col>
      <xdr:colOff>552450</xdr:colOff>
      <xdr:row>0</xdr:row>
      <xdr:rowOff>571500</xdr:rowOff>
    </xdr:to>
    <xdr:pic>
      <xdr:nvPicPr>
        <xdr:cNvPr id="11955" name="Image 1" descr="Picture">
          <a:extLst>
            <a:ext uri="{FF2B5EF4-FFF2-40B4-BE49-F238E27FC236}">
              <a16:creationId xmlns:a16="http://schemas.microsoft.com/office/drawing/2014/main" id="{66A3ABFE-6A40-E476-02B3-3BA3B8018E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7962" b="22749"/>
        <a:stretch>
          <a:fillRect/>
        </a:stretch>
      </xdr:blipFill>
      <xdr:spPr bwMode="auto">
        <a:xfrm>
          <a:off x="38100" y="47625"/>
          <a:ext cx="11239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438150</xdr:colOff>
      <xdr:row>387</xdr:row>
      <xdr:rowOff>95250</xdr:rowOff>
    </xdr:from>
    <xdr:to>
      <xdr:col>4</xdr:col>
      <xdr:colOff>319088</xdr:colOff>
      <xdr:row>390</xdr:row>
      <xdr:rowOff>100012</xdr:rowOff>
    </xdr:to>
    <xdr:sp macro="" textlink="">
      <xdr:nvSpPr>
        <xdr:cNvPr id="38" name="TextBox 157">
          <a:extLst>
            <a:ext uri="{FF2B5EF4-FFF2-40B4-BE49-F238E27FC236}">
              <a16:creationId xmlns:a16="http://schemas.microsoft.com/office/drawing/2014/main" id="{71BC9EE0-178B-D10F-14C4-14DA54EE06E4}"/>
            </a:ext>
          </a:extLst>
        </xdr:cNvPr>
        <xdr:cNvSpPr txBox="1">
          <a:spLocks noChangeArrowheads="1"/>
        </xdr:cNvSpPr>
      </xdr:nvSpPr>
      <xdr:spPr bwMode="auto">
        <a:xfrm rot="10800000">
          <a:off x="2266950" y="74361675"/>
          <a:ext cx="490538" cy="576262"/>
        </a:xfrm>
        <a:prstGeom prst="rect">
          <a:avLst/>
        </a:prstGeom>
        <a:solidFill>
          <a:srgbClr val="FFFFFF"/>
        </a:solidFill>
        <a:ln>
          <a:noFill/>
        </a:ln>
      </xdr:spPr>
      <xdr:txBody>
        <a:bodyPr vertOverflow="clip" vert="vert" wrap="square" lIns="91440" tIns="45720" rIns="91440" bIns="45720" anchor="b"/>
        <a:lstStyle/>
        <a:p>
          <a:pPr algn="l" rtl="0">
            <a:defRPr sz="1000"/>
          </a:pPr>
          <a:r>
            <a:rPr lang="en-AU" sz="900" b="0" i="0" u="none" strike="noStrike" baseline="0">
              <a:solidFill>
                <a:srgbClr val="000000"/>
              </a:solidFill>
              <a:latin typeface="Calibri"/>
              <a:ea typeface="Calibri"/>
              <a:cs typeface="Calibri"/>
            </a:rPr>
            <a:t>Max Span Moment</a:t>
          </a:r>
        </a:p>
      </xdr:txBody>
    </xdr:sp>
    <xdr:clientData/>
  </xdr:twoCellAnchor>
  <xdr:twoCellAnchor>
    <xdr:from>
      <xdr:col>5</xdr:col>
      <xdr:colOff>133350</xdr:colOff>
      <xdr:row>387</xdr:row>
      <xdr:rowOff>123825</xdr:rowOff>
    </xdr:from>
    <xdr:to>
      <xdr:col>6</xdr:col>
      <xdr:colOff>14288</xdr:colOff>
      <xdr:row>390</xdr:row>
      <xdr:rowOff>128587</xdr:rowOff>
    </xdr:to>
    <xdr:sp macro="" textlink="">
      <xdr:nvSpPr>
        <xdr:cNvPr id="39" name="TextBox 158">
          <a:extLst>
            <a:ext uri="{FF2B5EF4-FFF2-40B4-BE49-F238E27FC236}">
              <a16:creationId xmlns:a16="http://schemas.microsoft.com/office/drawing/2014/main" id="{BCFD3E5D-A3FD-0BD4-6656-31937FEA0E79}"/>
            </a:ext>
          </a:extLst>
        </xdr:cNvPr>
        <xdr:cNvSpPr txBox="1">
          <a:spLocks noChangeArrowheads="1"/>
        </xdr:cNvSpPr>
      </xdr:nvSpPr>
      <xdr:spPr bwMode="auto">
        <a:xfrm rot="10800000">
          <a:off x="3181350" y="74390250"/>
          <a:ext cx="490538" cy="576262"/>
        </a:xfrm>
        <a:prstGeom prst="rect">
          <a:avLst/>
        </a:prstGeom>
        <a:solidFill>
          <a:srgbClr val="FFFFFF"/>
        </a:solidFill>
        <a:ln>
          <a:noFill/>
        </a:ln>
      </xdr:spPr>
      <xdr:txBody>
        <a:bodyPr vertOverflow="clip" vert="vert270" wrap="square" lIns="91440" tIns="45720" rIns="91440" bIns="45720" anchor="t"/>
        <a:lstStyle/>
        <a:p>
          <a:pPr algn="r" rtl="0">
            <a:defRPr sz="1000"/>
          </a:pPr>
          <a:r>
            <a:rPr lang="en-AU" sz="900" b="0" i="0" u="none" strike="noStrike" baseline="0">
              <a:solidFill>
                <a:srgbClr val="000000"/>
              </a:solidFill>
              <a:latin typeface="Calibri"/>
              <a:ea typeface="Calibri"/>
              <a:cs typeface="Calibri"/>
            </a:rPr>
            <a:t>Max Span Moment</a:t>
          </a:r>
        </a:p>
      </xdr:txBody>
    </xdr:sp>
    <xdr:clientData/>
  </xdr:twoCellAnchor>
  <xdr:twoCellAnchor>
    <xdr:from>
      <xdr:col>3</xdr:col>
      <xdr:colOff>457200</xdr:colOff>
      <xdr:row>295</xdr:row>
      <xdr:rowOff>123825</xdr:rowOff>
    </xdr:from>
    <xdr:to>
      <xdr:col>4</xdr:col>
      <xdr:colOff>338138</xdr:colOff>
      <xdr:row>298</xdr:row>
      <xdr:rowOff>128587</xdr:rowOff>
    </xdr:to>
    <xdr:sp macro="" textlink="">
      <xdr:nvSpPr>
        <xdr:cNvPr id="40" name="TextBox 157">
          <a:extLst>
            <a:ext uri="{FF2B5EF4-FFF2-40B4-BE49-F238E27FC236}">
              <a16:creationId xmlns:a16="http://schemas.microsoft.com/office/drawing/2014/main" id="{C172574A-3F5A-D882-A3BC-B6B63B31BEC1}"/>
            </a:ext>
          </a:extLst>
        </xdr:cNvPr>
        <xdr:cNvSpPr txBox="1">
          <a:spLocks noChangeArrowheads="1"/>
        </xdr:cNvSpPr>
      </xdr:nvSpPr>
      <xdr:spPr bwMode="auto">
        <a:xfrm rot="10800000">
          <a:off x="2286000" y="56797575"/>
          <a:ext cx="490538" cy="576262"/>
        </a:xfrm>
        <a:prstGeom prst="rect">
          <a:avLst/>
        </a:prstGeom>
        <a:solidFill>
          <a:srgbClr val="FFFFFF"/>
        </a:solidFill>
        <a:ln>
          <a:noFill/>
        </a:ln>
      </xdr:spPr>
      <xdr:txBody>
        <a:bodyPr vertOverflow="clip" vert="vert" wrap="square" lIns="91440" tIns="45720" rIns="91440" bIns="45720" anchor="b"/>
        <a:lstStyle/>
        <a:p>
          <a:pPr algn="l" rtl="0">
            <a:defRPr sz="1000"/>
          </a:pPr>
          <a:r>
            <a:rPr lang="en-AU" sz="900" b="0" i="0" u="none" strike="noStrike" baseline="0">
              <a:solidFill>
                <a:srgbClr val="000000"/>
              </a:solidFill>
              <a:latin typeface="Calibri"/>
              <a:ea typeface="Calibri"/>
              <a:cs typeface="Calibri"/>
            </a:rPr>
            <a:t>Max Span Moment</a:t>
          </a:r>
        </a:p>
      </xdr:txBody>
    </xdr:sp>
    <xdr:clientData/>
  </xdr:twoCellAnchor>
  <xdr:twoCellAnchor>
    <xdr:from>
      <xdr:col>5</xdr:col>
      <xdr:colOff>152400</xdr:colOff>
      <xdr:row>295</xdr:row>
      <xdr:rowOff>152400</xdr:rowOff>
    </xdr:from>
    <xdr:to>
      <xdr:col>6</xdr:col>
      <xdr:colOff>33338</xdr:colOff>
      <xdr:row>298</xdr:row>
      <xdr:rowOff>157162</xdr:rowOff>
    </xdr:to>
    <xdr:sp macro="" textlink="">
      <xdr:nvSpPr>
        <xdr:cNvPr id="41" name="TextBox 158">
          <a:extLst>
            <a:ext uri="{FF2B5EF4-FFF2-40B4-BE49-F238E27FC236}">
              <a16:creationId xmlns:a16="http://schemas.microsoft.com/office/drawing/2014/main" id="{145B65D7-4E93-C8C0-5A54-AD1496D51131}"/>
            </a:ext>
          </a:extLst>
        </xdr:cNvPr>
        <xdr:cNvSpPr txBox="1">
          <a:spLocks noChangeArrowheads="1"/>
        </xdr:cNvSpPr>
      </xdr:nvSpPr>
      <xdr:spPr bwMode="auto">
        <a:xfrm rot="10800000">
          <a:off x="3200400" y="56826150"/>
          <a:ext cx="490538" cy="576262"/>
        </a:xfrm>
        <a:prstGeom prst="rect">
          <a:avLst/>
        </a:prstGeom>
        <a:solidFill>
          <a:srgbClr val="FFFFFF"/>
        </a:solidFill>
        <a:ln>
          <a:noFill/>
        </a:ln>
      </xdr:spPr>
      <xdr:txBody>
        <a:bodyPr vertOverflow="clip" vert="vert270" wrap="square" lIns="91440" tIns="45720" rIns="91440" bIns="45720" anchor="t"/>
        <a:lstStyle/>
        <a:p>
          <a:pPr algn="r" rtl="0">
            <a:defRPr sz="1000"/>
          </a:pPr>
          <a:r>
            <a:rPr lang="en-AU" sz="900" b="0" i="0" u="none" strike="noStrike" baseline="0">
              <a:solidFill>
                <a:srgbClr val="000000"/>
              </a:solidFill>
              <a:latin typeface="Calibri"/>
              <a:ea typeface="Calibri"/>
              <a:cs typeface="Calibri"/>
            </a:rPr>
            <a:t>Max Span Moment</a:t>
          </a:r>
        </a:p>
      </xdr:txBody>
    </xdr:sp>
    <xdr:clientData/>
  </xdr:twoCellAnchor>
  <xdr:twoCellAnchor>
    <xdr:from>
      <xdr:col>3</xdr:col>
      <xdr:colOff>466725</xdr:colOff>
      <xdr:row>203</xdr:row>
      <xdr:rowOff>152400</xdr:rowOff>
    </xdr:from>
    <xdr:to>
      <xdr:col>4</xdr:col>
      <xdr:colOff>347663</xdr:colOff>
      <xdr:row>206</xdr:row>
      <xdr:rowOff>157162</xdr:rowOff>
    </xdr:to>
    <xdr:sp macro="" textlink="">
      <xdr:nvSpPr>
        <xdr:cNvPr id="42" name="TextBox 157">
          <a:extLst>
            <a:ext uri="{FF2B5EF4-FFF2-40B4-BE49-F238E27FC236}">
              <a16:creationId xmlns:a16="http://schemas.microsoft.com/office/drawing/2014/main" id="{86995569-F57A-A772-94C4-69E5D830D871}"/>
            </a:ext>
          </a:extLst>
        </xdr:cNvPr>
        <xdr:cNvSpPr txBox="1">
          <a:spLocks noChangeArrowheads="1"/>
        </xdr:cNvSpPr>
      </xdr:nvSpPr>
      <xdr:spPr bwMode="auto">
        <a:xfrm rot="10800000">
          <a:off x="2295525" y="39233475"/>
          <a:ext cx="490538" cy="576262"/>
        </a:xfrm>
        <a:prstGeom prst="rect">
          <a:avLst/>
        </a:prstGeom>
        <a:solidFill>
          <a:srgbClr val="FFFFFF"/>
        </a:solidFill>
        <a:ln>
          <a:noFill/>
        </a:ln>
      </xdr:spPr>
      <xdr:txBody>
        <a:bodyPr vertOverflow="clip" vert="vert" wrap="square" lIns="91440" tIns="45720" rIns="91440" bIns="45720" anchor="b"/>
        <a:lstStyle/>
        <a:p>
          <a:pPr algn="l" rtl="0">
            <a:defRPr sz="1000"/>
          </a:pPr>
          <a:r>
            <a:rPr lang="en-AU" sz="900" b="0" i="0" u="none" strike="noStrike" baseline="0">
              <a:solidFill>
                <a:srgbClr val="000000"/>
              </a:solidFill>
              <a:latin typeface="Calibri"/>
              <a:ea typeface="Calibri"/>
              <a:cs typeface="Calibri"/>
            </a:rPr>
            <a:t>Max Span Moment</a:t>
          </a:r>
        </a:p>
      </xdr:txBody>
    </xdr:sp>
    <xdr:clientData/>
  </xdr:twoCellAnchor>
  <xdr:twoCellAnchor>
    <xdr:from>
      <xdr:col>5</xdr:col>
      <xdr:colOff>161925</xdr:colOff>
      <xdr:row>203</xdr:row>
      <xdr:rowOff>180975</xdr:rowOff>
    </xdr:from>
    <xdr:to>
      <xdr:col>6</xdr:col>
      <xdr:colOff>42863</xdr:colOff>
      <xdr:row>206</xdr:row>
      <xdr:rowOff>185737</xdr:rowOff>
    </xdr:to>
    <xdr:sp macro="" textlink="">
      <xdr:nvSpPr>
        <xdr:cNvPr id="43" name="TextBox 158">
          <a:extLst>
            <a:ext uri="{FF2B5EF4-FFF2-40B4-BE49-F238E27FC236}">
              <a16:creationId xmlns:a16="http://schemas.microsoft.com/office/drawing/2014/main" id="{451F7D51-EEA7-E2A3-4CC9-8D36205220E4}"/>
            </a:ext>
          </a:extLst>
        </xdr:cNvPr>
        <xdr:cNvSpPr txBox="1">
          <a:spLocks noChangeArrowheads="1"/>
        </xdr:cNvSpPr>
      </xdr:nvSpPr>
      <xdr:spPr bwMode="auto">
        <a:xfrm rot="10800000">
          <a:off x="3209925" y="39262050"/>
          <a:ext cx="490538" cy="576262"/>
        </a:xfrm>
        <a:prstGeom prst="rect">
          <a:avLst/>
        </a:prstGeom>
        <a:solidFill>
          <a:srgbClr val="FFFFFF"/>
        </a:solidFill>
        <a:ln>
          <a:noFill/>
        </a:ln>
      </xdr:spPr>
      <xdr:txBody>
        <a:bodyPr vertOverflow="clip" vert="vert270" wrap="square" lIns="91440" tIns="45720" rIns="91440" bIns="45720" anchor="t"/>
        <a:lstStyle/>
        <a:p>
          <a:pPr algn="r" rtl="0">
            <a:defRPr sz="1000"/>
          </a:pPr>
          <a:r>
            <a:rPr lang="en-AU" sz="900" b="0" i="0" u="none" strike="noStrike" baseline="0">
              <a:solidFill>
                <a:srgbClr val="000000"/>
              </a:solidFill>
              <a:latin typeface="Calibri"/>
              <a:ea typeface="Calibri"/>
              <a:cs typeface="Calibri"/>
            </a:rPr>
            <a:t>Max Span Moment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B9BAB-1D8C-493B-A63E-870D328FB9C5}">
  <dimension ref="A1:I713"/>
  <sheetViews>
    <sheetView tabSelected="1" view="pageBreakPreview" topLeftCell="A37" zoomScaleNormal="100" zoomScaleSheetLayoutView="100" workbookViewId="0">
      <selection activeCell="M70" sqref="M70"/>
    </sheetView>
  </sheetViews>
  <sheetFormatPr defaultRowHeight="15" x14ac:dyDescent="0.25"/>
  <cols>
    <col min="1" max="1" width="9.140625" style="1"/>
    <col min="2" max="9" width="9.140625" style="1" customWidth="1"/>
    <col min="10" max="16384" width="9.140625" style="1"/>
  </cols>
  <sheetData>
    <row r="1" spans="1:9" ht="46.5" customHeight="1" x14ac:dyDescent="0.2">
      <c r="A1" s="155"/>
      <c r="B1" s="156"/>
      <c r="C1" s="157" t="s">
        <v>143</v>
      </c>
      <c r="D1" s="158"/>
      <c r="E1" s="158"/>
      <c r="F1" s="158"/>
      <c r="G1" s="159"/>
      <c r="H1" s="160" t="s">
        <v>138</v>
      </c>
      <c r="I1" s="161"/>
    </row>
    <row r="2" spans="1:9" x14ac:dyDescent="0.2">
      <c r="A2" s="162" t="s">
        <v>139</v>
      </c>
      <c r="B2" s="163"/>
      <c r="C2" s="164" t="s">
        <v>142</v>
      </c>
      <c r="D2" s="164"/>
      <c r="E2" s="162" t="s">
        <v>140</v>
      </c>
      <c r="F2" s="163"/>
      <c r="G2" s="164">
        <v>40048</v>
      </c>
      <c r="H2" s="164"/>
      <c r="I2" s="3" t="s">
        <v>141</v>
      </c>
    </row>
    <row r="3" spans="1:9" x14ac:dyDescent="0.2">
      <c r="A3" s="167" t="s">
        <v>144</v>
      </c>
      <c r="B3" s="168"/>
      <c r="C3" s="168"/>
      <c r="D3" s="168"/>
      <c r="E3" s="168"/>
      <c r="F3" s="168"/>
      <c r="G3" s="168"/>
      <c r="H3" s="168"/>
      <c r="I3" s="169"/>
    </row>
    <row r="4" spans="1:9" x14ac:dyDescent="0.2">
      <c r="A4" s="7"/>
      <c r="B4" s="7"/>
      <c r="C4" s="7"/>
      <c r="D4" s="7"/>
      <c r="E4" s="7"/>
      <c r="F4" s="7"/>
      <c r="G4" s="7"/>
      <c r="H4" s="7"/>
      <c r="I4" s="7"/>
    </row>
    <row r="5" spans="1:9" x14ac:dyDescent="0.2">
      <c r="A5" s="8"/>
      <c r="B5" s="8"/>
      <c r="C5" s="8"/>
      <c r="D5" s="8"/>
      <c r="E5" s="8"/>
      <c r="F5" s="8"/>
      <c r="G5" s="8"/>
      <c r="H5" s="8"/>
      <c r="I5" s="8"/>
    </row>
    <row r="6" spans="1:9" x14ac:dyDescent="0.2">
      <c r="A6" s="8"/>
      <c r="B6" s="4" t="s">
        <v>148</v>
      </c>
      <c r="C6" s="5"/>
      <c r="D6" s="5"/>
      <c r="E6" s="5"/>
      <c r="F6" s="5"/>
      <c r="G6" s="5"/>
      <c r="H6" s="5"/>
      <c r="I6" s="8"/>
    </row>
    <row r="7" spans="1:9" x14ac:dyDescent="0.2">
      <c r="A7" s="8"/>
      <c r="B7" s="5" t="s">
        <v>149</v>
      </c>
      <c r="C7" s="5"/>
      <c r="D7" s="5"/>
      <c r="E7" s="5"/>
      <c r="F7" s="5"/>
      <c r="G7" s="5"/>
      <c r="H7" s="5"/>
      <c r="I7" s="8"/>
    </row>
    <row r="8" spans="1:9" x14ac:dyDescent="0.2">
      <c r="A8" s="8"/>
      <c r="B8" s="5" t="s">
        <v>155</v>
      </c>
      <c r="C8" s="5"/>
      <c r="D8" s="5"/>
      <c r="E8" s="5"/>
      <c r="F8" s="5"/>
      <c r="G8" s="5"/>
      <c r="H8" s="5"/>
      <c r="I8" s="8"/>
    </row>
    <row r="9" spans="1:9" x14ac:dyDescent="0.2">
      <c r="A9" s="8"/>
      <c r="B9" s="5" t="s">
        <v>154</v>
      </c>
      <c r="C9" s="5"/>
      <c r="D9" s="5"/>
      <c r="E9" s="5"/>
      <c r="F9" s="5"/>
      <c r="G9" s="5"/>
      <c r="H9" s="5"/>
      <c r="I9" s="8"/>
    </row>
    <row r="10" spans="1:9" x14ac:dyDescent="0.2">
      <c r="A10" s="8"/>
      <c r="B10" s="5" t="s">
        <v>150</v>
      </c>
      <c r="C10" s="5"/>
      <c r="D10" s="5"/>
      <c r="E10" s="5"/>
      <c r="F10" s="5"/>
      <c r="G10" s="5"/>
      <c r="H10" s="5"/>
      <c r="I10" s="8"/>
    </row>
    <row r="11" spans="1:9" x14ac:dyDescent="0.2">
      <c r="A11" s="8"/>
      <c r="B11" s="5" t="s">
        <v>151</v>
      </c>
      <c r="C11" s="5"/>
      <c r="D11" s="5"/>
      <c r="E11" s="5"/>
      <c r="F11" s="5"/>
      <c r="G11" s="5"/>
      <c r="H11" s="5"/>
      <c r="I11" s="8"/>
    </row>
    <row r="12" spans="1:9" x14ac:dyDescent="0.2">
      <c r="A12" s="8"/>
      <c r="B12" s="6" t="s">
        <v>152</v>
      </c>
      <c r="C12" s="5"/>
      <c r="D12" s="5"/>
      <c r="E12" s="5"/>
      <c r="F12" s="5"/>
      <c r="G12" s="5"/>
      <c r="H12" s="5"/>
      <c r="I12" s="8"/>
    </row>
    <row r="13" spans="1:9" x14ac:dyDescent="0.2">
      <c r="A13" s="8"/>
      <c r="B13" s="170" t="s">
        <v>153</v>
      </c>
      <c r="C13" s="170"/>
      <c r="D13" s="170"/>
      <c r="E13" s="170"/>
      <c r="F13" s="170"/>
      <c r="G13" s="170"/>
      <c r="H13" s="170"/>
      <c r="I13" s="8"/>
    </row>
    <row r="14" spans="1:9" x14ac:dyDescent="0.2">
      <c r="A14" s="8"/>
      <c r="B14" s="170"/>
      <c r="C14" s="170"/>
      <c r="D14" s="170"/>
      <c r="E14" s="170"/>
      <c r="F14" s="170"/>
      <c r="G14" s="170"/>
      <c r="H14" s="170"/>
      <c r="I14" s="8"/>
    </row>
    <row r="15" spans="1:9" x14ac:dyDescent="0.2">
      <c r="A15" s="8"/>
      <c r="B15" s="170"/>
      <c r="C15" s="170"/>
      <c r="D15" s="170"/>
      <c r="E15" s="170"/>
      <c r="F15" s="170"/>
      <c r="G15" s="170"/>
      <c r="H15" s="170"/>
      <c r="I15" s="8"/>
    </row>
    <row r="16" spans="1:9" x14ac:dyDescent="0.2">
      <c r="A16" s="8"/>
      <c r="B16" s="170"/>
      <c r="C16" s="170"/>
      <c r="D16" s="170"/>
      <c r="E16" s="170"/>
      <c r="F16" s="170"/>
      <c r="G16" s="170"/>
      <c r="H16" s="170"/>
      <c r="I16" s="8"/>
    </row>
    <row r="17" spans="1:9" x14ac:dyDescent="0.2">
      <c r="A17" s="8"/>
      <c r="B17" s="8"/>
      <c r="C17" s="8"/>
      <c r="D17" s="8"/>
      <c r="E17" s="8"/>
      <c r="F17" s="8"/>
      <c r="G17" s="8"/>
      <c r="H17" s="8"/>
      <c r="I17" s="8"/>
    </row>
    <row r="18" spans="1:9" x14ac:dyDescent="0.2">
      <c r="A18" s="8"/>
      <c r="B18" s="8"/>
      <c r="C18" s="8"/>
      <c r="D18" s="8"/>
      <c r="E18" s="8"/>
      <c r="F18" s="8"/>
      <c r="G18" s="8"/>
      <c r="H18" s="8"/>
      <c r="I18" s="8"/>
    </row>
    <row r="19" spans="1:9" x14ac:dyDescent="0.2">
      <c r="A19" s="8"/>
      <c r="B19" s="8"/>
      <c r="C19" s="8"/>
      <c r="D19" s="8"/>
      <c r="E19" s="8"/>
      <c r="F19" s="8"/>
      <c r="G19" s="8"/>
      <c r="H19" s="8"/>
      <c r="I19" s="8"/>
    </row>
    <row r="20" spans="1:9" x14ac:dyDescent="0.2">
      <c r="A20" s="8"/>
      <c r="B20" s="8"/>
      <c r="C20" s="8"/>
      <c r="D20" s="8"/>
      <c r="E20" s="8"/>
      <c r="F20" s="8"/>
      <c r="G20" s="8"/>
      <c r="H20" s="8"/>
      <c r="I20" s="8"/>
    </row>
    <row r="21" spans="1:9" x14ac:dyDescent="0.2">
      <c r="A21" s="8"/>
      <c r="B21" s="8"/>
      <c r="C21" s="8"/>
      <c r="D21" s="8"/>
      <c r="E21" s="8"/>
      <c r="F21" s="8"/>
      <c r="G21" s="8"/>
      <c r="H21" s="8"/>
      <c r="I21" s="8"/>
    </row>
    <row r="22" spans="1:9" x14ac:dyDescent="0.2">
      <c r="A22" s="8"/>
      <c r="B22" s="8"/>
      <c r="C22" s="8"/>
      <c r="D22" s="8"/>
      <c r="E22" s="8"/>
      <c r="F22" s="8"/>
      <c r="G22" s="8"/>
      <c r="H22" s="8"/>
      <c r="I22" s="8"/>
    </row>
    <row r="23" spans="1:9" x14ac:dyDescent="0.2">
      <c r="A23" s="8"/>
      <c r="B23" s="8"/>
      <c r="C23" s="8"/>
      <c r="D23" s="8"/>
      <c r="E23" s="8"/>
      <c r="F23" s="8"/>
      <c r="G23" s="8"/>
      <c r="H23" s="8"/>
      <c r="I23" s="8"/>
    </row>
    <row r="24" spans="1:9" x14ac:dyDescent="0.2">
      <c r="A24" s="8"/>
      <c r="B24" s="8"/>
      <c r="C24" s="8"/>
      <c r="D24" s="8"/>
      <c r="E24" s="8"/>
      <c r="F24" s="8"/>
      <c r="G24" s="8"/>
      <c r="H24" s="8"/>
      <c r="I24" s="8"/>
    </row>
    <row r="25" spans="1:9" x14ac:dyDescent="0.2">
      <c r="A25" s="8"/>
      <c r="B25" s="8"/>
      <c r="C25" s="8"/>
      <c r="D25" s="8"/>
      <c r="E25" s="8"/>
      <c r="F25" s="8"/>
      <c r="G25" s="8"/>
      <c r="H25" s="8"/>
      <c r="I25" s="8"/>
    </row>
    <row r="26" spans="1:9" x14ac:dyDescent="0.2">
      <c r="A26" s="8"/>
      <c r="B26" s="8"/>
      <c r="C26" s="8"/>
      <c r="D26" s="8"/>
      <c r="E26" s="8"/>
      <c r="F26" s="8"/>
      <c r="G26" s="8"/>
      <c r="H26" s="8"/>
      <c r="I26" s="8"/>
    </row>
    <row r="27" spans="1:9" x14ac:dyDescent="0.2">
      <c r="A27" s="8"/>
      <c r="B27" s="8"/>
      <c r="C27" s="8"/>
      <c r="D27" s="8"/>
      <c r="E27" s="8"/>
      <c r="F27" s="8"/>
      <c r="G27" s="8"/>
      <c r="H27" s="8"/>
      <c r="I27" s="8"/>
    </row>
    <row r="28" spans="1:9" x14ac:dyDescent="0.2">
      <c r="A28" s="8"/>
      <c r="B28" s="8"/>
      <c r="C28" s="8"/>
      <c r="D28" s="8"/>
      <c r="E28" s="8"/>
      <c r="F28" s="8"/>
      <c r="G28" s="8"/>
      <c r="H28" s="8"/>
      <c r="I28" s="8"/>
    </row>
    <row r="29" spans="1:9" x14ac:dyDescent="0.2">
      <c r="A29" s="8"/>
      <c r="B29" s="8"/>
      <c r="C29" s="8"/>
      <c r="D29" s="8"/>
      <c r="E29" s="8"/>
      <c r="F29" s="8"/>
      <c r="G29" s="8"/>
      <c r="H29" s="8"/>
      <c r="I29" s="8"/>
    </row>
    <row r="30" spans="1:9" x14ac:dyDescent="0.2">
      <c r="A30" s="8"/>
      <c r="B30" s="8"/>
      <c r="C30" s="8"/>
      <c r="D30" s="8"/>
      <c r="E30" s="8"/>
      <c r="F30" s="8"/>
      <c r="G30" s="8"/>
      <c r="H30" s="8"/>
      <c r="I30" s="8"/>
    </row>
    <row r="31" spans="1:9" x14ac:dyDescent="0.2">
      <c r="A31" s="8"/>
      <c r="B31" s="8"/>
      <c r="C31" s="8"/>
      <c r="D31" s="8"/>
      <c r="E31" s="8"/>
      <c r="F31" s="8"/>
      <c r="G31" s="8"/>
      <c r="H31" s="8"/>
      <c r="I31" s="8"/>
    </row>
    <row r="32" spans="1:9" x14ac:dyDescent="0.2">
      <c r="A32" s="8"/>
      <c r="B32" s="8"/>
      <c r="C32" s="8"/>
      <c r="D32" s="8"/>
      <c r="E32" s="8"/>
      <c r="F32" s="8"/>
      <c r="G32" s="8"/>
      <c r="H32" s="8"/>
      <c r="I32" s="8"/>
    </row>
    <row r="33" spans="1:9" x14ac:dyDescent="0.2">
      <c r="A33" s="8"/>
      <c r="B33" s="8"/>
      <c r="C33" s="8"/>
      <c r="D33" s="8"/>
      <c r="E33" s="8"/>
      <c r="F33" s="8"/>
      <c r="G33" s="8"/>
      <c r="H33" s="8"/>
      <c r="I33" s="8"/>
    </row>
    <row r="34" spans="1:9" x14ac:dyDescent="0.2">
      <c r="A34" s="8"/>
      <c r="B34" s="8"/>
      <c r="C34" s="8"/>
      <c r="D34" s="8"/>
      <c r="E34" s="8"/>
      <c r="F34" s="8"/>
      <c r="G34" s="8"/>
      <c r="H34" s="8"/>
      <c r="I34" s="8"/>
    </row>
    <row r="35" spans="1:9" x14ac:dyDescent="0.2">
      <c r="A35" s="8"/>
      <c r="B35" s="8"/>
      <c r="C35" s="8"/>
      <c r="D35" s="8"/>
      <c r="E35" s="8"/>
      <c r="F35" s="8"/>
      <c r="G35" s="8"/>
      <c r="H35" s="8"/>
      <c r="I35" s="8"/>
    </row>
    <row r="36" spans="1:9" x14ac:dyDescent="0.2">
      <c r="A36" s="8"/>
      <c r="B36" s="8"/>
      <c r="C36" s="8"/>
      <c r="D36" s="8"/>
      <c r="E36" s="8"/>
      <c r="F36" s="8"/>
      <c r="G36" s="8"/>
      <c r="H36" s="8"/>
      <c r="I36" s="8"/>
    </row>
    <row r="37" spans="1:9" x14ac:dyDescent="0.2">
      <c r="A37" s="8"/>
      <c r="B37" s="8"/>
      <c r="C37" s="8"/>
      <c r="D37" s="8"/>
      <c r="E37" s="8"/>
      <c r="F37" s="8"/>
      <c r="G37" s="8"/>
      <c r="H37" s="8"/>
      <c r="I37" s="8"/>
    </row>
    <row r="38" spans="1:9" x14ac:dyDescent="0.2">
      <c r="A38" s="8"/>
      <c r="B38" s="8"/>
      <c r="C38" s="8"/>
      <c r="D38" s="8"/>
      <c r="E38" s="8"/>
      <c r="F38" s="8"/>
      <c r="G38" s="8"/>
      <c r="H38" s="8"/>
      <c r="I38" s="8"/>
    </row>
    <row r="39" spans="1:9" x14ac:dyDescent="0.2">
      <c r="A39" s="8"/>
      <c r="B39" s="8"/>
      <c r="C39" s="8"/>
      <c r="D39" s="8"/>
      <c r="E39" s="8"/>
      <c r="F39" s="8"/>
      <c r="G39" s="8"/>
      <c r="H39" s="8"/>
      <c r="I39" s="8"/>
    </row>
    <row r="40" spans="1:9" x14ac:dyDescent="0.2">
      <c r="A40" s="8"/>
      <c r="B40" s="8"/>
      <c r="C40" s="8"/>
      <c r="D40" s="8"/>
      <c r="E40" s="8"/>
      <c r="F40" s="8"/>
      <c r="G40" s="8"/>
      <c r="H40" s="8"/>
      <c r="I40" s="8"/>
    </row>
    <row r="41" spans="1:9" x14ac:dyDescent="0.2">
      <c r="A41" s="8"/>
      <c r="B41" s="8"/>
      <c r="C41" s="8"/>
      <c r="D41" s="8"/>
      <c r="E41" s="8"/>
      <c r="F41" s="8"/>
      <c r="G41" s="8"/>
      <c r="H41" s="8"/>
      <c r="I41" s="8"/>
    </row>
    <row r="42" spans="1:9" x14ac:dyDescent="0.2">
      <c r="A42" s="8"/>
      <c r="B42" s="8"/>
      <c r="C42" s="8"/>
      <c r="D42" s="8"/>
      <c r="E42" s="8"/>
      <c r="F42" s="8"/>
      <c r="G42" s="8"/>
      <c r="H42" s="8"/>
      <c r="I42" s="8"/>
    </row>
    <row r="43" spans="1:9" x14ac:dyDescent="0.2">
      <c r="A43" s="8"/>
      <c r="B43" s="8"/>
      <c r="C43" s="8"/>
      <c r="D43" s="8"/>
      <c r="E43" s="8"/>
      <c r="F43" s="8"/>
      <c r="G43" s="8"/>
      <c r="H43" s="8"/>
      <c r="I43" s="8"/>
    </row>
    <row r="44" spans="1:9" x14ac:dyDescent="0.2">
      <c r="A44" s="8"/>
      <c r="B44" s="8"/>
      <c r="C44" s="8"/>
      <c r="D44" s="8"/>
      <c r="E44" s="8"/>
      <c r="F44" s="8"/>
      <c r="G44" s="8"/>
      <c r="H44" s="8"/>
      <c r="I44" s="8"/>
    </row>
    <row r="45" spans="1:9" x14ac:dyDescent="0.2">
      <c r="A45" s="8"/>
      <c r="B45" s="8"/>
      <c r="C45" s="8"/>
      <c r="D45" s="8"/>
      <c r="E45" s="8"/>
      <c r="F45" s="8"/>
      <c r="G45" s="8"/>
      <c r="H45" s="8"/>
      <c r="I45" s="8"/>
    </row>
    <row r="46" spans="1:9" x14ac:dyDescent="0.2">
      <c r="A46" s="8"/>
      <c r="B46" s="8"/>
      <c r="C46" s="8"/>
      <c r="D46" s="8"/>
      <c r="E46" s="8"/>
      <c r="F46" s="8"/>
      <c r="G46" s="8"/>
      <c r="H46" s="8"/>
      <c r="I46" s="8"/>
    </row>
    <row r="47" spans="1:9" x14ac:dyDescent="0.2">
      <c r="A47" s="8"/>
      <c r="B47" s="8"/>
      <c r="C47" s="8"/>
      <c r="D47" s="8"/>
      <c r="E47" s="8"/>
      <c r="F47" s="8"/>
      <c r="G47" s="8"/>
      <c r="H47" s="8"/>
      <c r="I47" s="8"/>
    </row>
    <row r="48" spans="1:9" x14ac:dyDescent="0.2">
      <c r="A48" s="8"/>
      <c r="B48" s="8"/>
      <c r="C48" s="8"/>
      <c r="D48" s="8"/>
      <c r="E48" s="8"/>
      <c r="F48" s="8"/>
      <c r="G48" s="8"/>
      <c r="H48" s="8"/>
      <c r="I48" s="8"/>
    </row>
    <row r="49" spans="1:9" x14ac:dyDescent="0.2">
      <c r="A49" s="8"/>
      <c r="B49" s="8"/>
      <c r="C49" s="8"/>
      <c r="D49" s="8"/>
      <c r="E49" s="8"/>
      <c r="F49" s="8"/>
      <c r="G49" s="8"/>
      <c r="H49" s="8"/>
      <c r="I49" s="8"/>
    </row>
    <row r="50" spans="1:9" x14ac:dyDescent="0.25">
      <c r="A50" s="9"/>
      <c r="B50" s="9"/>
      <c r="C50" s="9"/>
      <c r="D50" s="9"/>
      <c r="E50" s="9"/>
      <c r="F50" s="9"/>
      <c r="G50" s="9"/>
      <c r="H50" s="9"/>
      <c r="I50" s="9"/>
    </row>
    <row r="51" spans="1:9" x14ac:dyDescent="0.25">
      <c r="A51" s="9"/>
      <c r="B51" s="9"/>
      <c r="C51" s="9"/>
      <c r="D51" s="10">
        <f>G77</f>
        <v>0.6</v>
      </c>
      <c r="E51" s="9"/>
      <c r="F51" s="9"/>
      <c r="G51" s="11">
        <f>G77</f>
        <v>0.6</v>
      </c>
      <c r="H51" s="9"/>
      <c r="I51" s="9"/>
    </row>
    <row r="52" spans="1:9" x14ac:dyDescent="0.25">
      <c r="A52" s="9"/>
      <c r="B52" s="9"/>
      <c r="C52" s="9"/>
      <c r="D52" s="9"/>
      <c r="E52" s="9"/>
      <c r="F52" s="9"/>
      <c r="G52" s="9"/>
      <c r="H52" s="9"/>
      <c r="I52" s="9"/>
    </row>
    <row r="53" spans="1:9" x14ac:dyDescent="0.25">
      <c r="A53" s="9"/>
      <c r="B53" s="9"/>
      <c r="C53" s="9"/>
      <c r="D53" s="9"/>
      <c r="E53" s="9"/>
      <c r="F53" s="9"/>
      <c r="G53" s="9"/>
      <c r="H53" s="9"/>
      <c r="I53" s="9"/>
    </row>
    <row r="54" spans="1:9" x14ac:dyDescent="0.25">
      <c r="A54" s="9"/>
      <c r="B54" s="9"/>
      <c r="C54" s="9"/>
      <c r="D54" s="9"/>
      <c r="E54" s="9"/>
      <c r="F54" s="9"/>
      <c r="G54" s="9"/>
      <c r="H54" s="9"/>
      <c r="I54" s="10">
        <f>G75</f>
        <v>0.6</v>
      </c>
    </row>
    <row r="55" spans="1:9" x14ac:dyDescent="0.25">
      <c r="A55" s="9"/>
      <c r="B55" s="9"/>
      <c r="C55" s="9"/>
      <c r="D55" s="9"/>
      <c r="E55" s="9"/>
      <c r="F55" s="9"/>
      <c r="G55" s="9"/>
      <c r="H55" s="9"/>
      <c r="I55" s="9"/>
    </row>
    <row r="56" spans="1:9" x14ac:dyDescent="0.25">
      <c r="A56" s="9"/>
      <c r="B56" s="9"/>
      <c r="C56" s="9"/>
      <c r="D56" s="9"/>
      <c r="E56" s="9"/>
      <c r="F56" s="9"/>
      <c r="G56" s="9"/>
      <c r="H56" s="9"/>
      <c r="I56" s="9"/>
    </row>
    <row r="57" spans="1:9" x14ac:dyDescent="0.25">
      <c r="A57" s="9"/>
      <c r="B57" s="9"/>
      <c r="C57" s="9"/>
      <c r="D57" s="9"/>
      <c r="E57" s="9">
        <f>G71</f>
        <v>6</v>
      </c>
      <c r="F57" s="9"/>
      <c r="G57" s="9"/>
      <c r="H57" s="9"/>
      <c r="I57" s="9"/>
    </row>
    <row r="58" spans="1:9" x14ac:dyDescent="0.25">
      <c r="A58" s="9"/>
      <c r="B58" s="9"/>
      <c r="C58" s="9"/>
      <c r="D58" s="9"/>
      <c r="E58" s="9"/>
      <c r="F58" s="9"/>
      <c r="G58" s="9"/>
      <c r="H58" s="9"/>
      <c r="I58" s="9"/>
    </row>
    <row r="59" spans="1:9" x14ac:dyDescent="0.25">
      <c r="A59" s="9"/>
      <c r="B59" s="9"/>
      <c r="C59" s="9"/>
      <c r="D59" s="9"/>
      <c r="E59" s="11">
        <f>G72</f>
        <v>4</v>
      </c>
      <c r="F59" s="9"/>
      <c r="G59" s="9"/>
      <c r="H59" s="9"/>
      <c r="I59" s="9"/>
    </row>
    <row r="60" spans="1:9" x14ac:dyDescent="0.25">
      <c r="A60" s="9"/>
      <c r="B60" s="9"/>
      <c r="C60" s="9"/>
      <c r="D60" s="9"/>
      <c r="E60" s="9"/>
      <c r="F60" s="9"/>
      <c r="G60" s="9"/>
      <c r="H60" s="9"/>
      <c r="I60" s="9"/>
    </row>
    <row r="61" spans="1:9" x14ac:dyDescent="0.25">
      <c r="A61" s="9"/>
      <c r="B61" s="9"/>
      <c r="C61" s="9"/>
      <c r="D61" s="9"/>
      <c r="E61" s="9"/>
      <c r="F61" s="9"/>
      <c r="G61" s="9"/>
      <c r="H61" s="9"/>
      <c r="I61" s="9"/>
    </row>
    <row r="62" spans="1:9" x14ac:dyDescent="0.25">
      <c r="A62" s="9"/>
      <c r="B62" s="9"/>
      <c r="C62" s="9"/>
      <c r="D62" s="9"/>
      <c r="E62" s="9"/>
      <c r="F62" s="9"/>
      <c r="G62" s="9"/>
      <c r="H62" s="9"/>
      <c r="I62" s="9"/>
    </row>
    <row r="63" spans="1:9" x14ac:dyDescent="0.25">
      <c r="A63" s="9"/>
      <c r="B63" s="9"/>
      <c r="C63" s="9"/>
      <c r="D63" s="9"/>
      <c r="E63" s="9"/>
      <c r="F63" s="9"/>
      <c r="G63" s="9"/>
      <c r="H63" s="9"/>
      <c r="I63" s="9"/>
    </row>
    <row r="64" spans="1:9" x14ac:dyDescent="0.25">
      <c r="A64" s="9"/>
      <c r="B64" s="9"/>
      <c r="C64" s="9"/>
      <c r="D64" s="9"/>
      <c r="E64" s="9"/>
      <c r="F64" s="9"/>
      <c r="G64" s="9"/>
      <c r="H64" s="9"/>
      <c r="I64" s="10">
        <f>G76</f>
        <v>0.7</v>
      </c>
    </row>
    <row r="65" spans="1:9" x14ac:dyDescent="0.25">
      <c r="A65" s="9"/>
      <c r="B65" s="9"/>
      <c r="C65" s="9"/>
      <c r="D65" s="9"/>
      <c r="E65" s="9"/>
      <c r="F65" s="9"/>
      <c r="G65" s="9"/>
      <c r="H65" s="9"/>
      <c r="I65" s="9"/>
    </row>
    <row r="66" spans="1:9" x14ac:dyDescent="0.25">
      <c r="A66" s="9"/>
      <c r="B66" s="9"/>
      <c r="C66" s="10">
        <f>G78</f>
        <v>0</v>
      </c>
      <c r="D66" s="9"/>
      <c r="E66" s="9"/>
      <c r="F66" s="10">
        <f>G71+2*G77</f>
        <v>7.2</v>
      </c>
      <c r="G66" s="9"/>
      <c r="H66" s="10">
        <f>G78</f>
        <v>0</v>
      </c>
      <c r="I66" s="9"/>
    </row>
    <row r="67" spans="1:9" x14ac:dyDescent="0.25">
      <c r="A67" s="9"/>
      <c r="B67" s="9"/>
      <c r="C67" s="9"/>
      <c r="D67" s="9"/>
      <c r="E67" s="9"/>
      <c r="F67" s="9"/>
      <c r="G67" s="9"/>
      <c r="H67" s="9"/>
      <c r="I67" s="9"/>
    </row>
    <row r="68" spans="1:9" x14ac:dyDescent="0.25">
      <c r="A68" s="9"/>
      <c r="B68" s="12"/>
      <c r="C68" s="13" t="s">
        <v>0</v>
      </c>
      <c r="D68" s="14"/>
      <c r="E68" s="14"/>
      <c r="F68" s="14"/>
      <c r="G68" s="14"/>
      <c r="H68" s="15"/>
      <c r="I68" s="9"/>
    </row>
    <row r="69" spans="1:9" x14ac:dyDescent="0.25">
      <c r="A69" s="9"/>
      <c r="B69" s="12"/>
      <c r="C69" s="16"/>
      <c r="D69" s="9"/>
      <c r="E69" s="9"/>
      <c r="F69" s="9"/>
      <c r="G69" s="9"/>
      <c r="H69" s="12"/>
      <c r="I69" s="9"/>
    </row>
    <row r="70" spans="1:9" x14ac:dyDescent="0.25">
      <c r="A70" s="9"/>
      <c r="B70" s="12"/>
      <c r="C70" s="16" t="s">
        <v>8</v>
      </c>
      <c r="D70" s="9"/>
      <c r="E70" s="9"/>
      <c r="F70" s="9"/>
      <c r="G70" s="141" t="s">
        <v>135</v>
      </c>
      <c r="H70" s="12"/>
      <c r="I70" s="9"/>
    </row>
    <row r="71" spans="1:9" x14ac:dyDescent="0.25">
      <c r="A71" s="9"/>
      <c r="B71" s="12"/>
      <c r="C71" s="16" t="s">
        <v>1</v>
      </c>
      <c r="D71" s="9"/>
      <c r="E71" s="9"/>
      <c r="F71" s="9"/>
      <c r="G71" s="142">
        <v>6</v>
      </c>
      <c r="H71" s="12" t="s">
        <v>7</v>
      </c>
      <c r="I71" s="9"/>
    </row>
    <row r="72" spans="1:9" x14ac:dyDescent="0.25">
      <c r="A72" s="9"/>
      <c r="B72" s="12"/>
      <c r="C72" s="16" t="s">
        <v>2</v>
      </c>
      <c r="D72" s="9"/>
      <c r="E72" s="9"/>
      <c r="F72" s="9"/>
      <c r="G72" s="142">
        <v>4</v>
      </c>
      <c r="H72" s="12" t="s">
        <v>7</v>
      </c>
      <c r="I72" s="9"/>
    </row>
    <row r="73" spans="1:9" x14ac:dyDescent="0.25">
      <c r="A73" s="9"/>
      <c r="B73" s="12"/>
      <c r="C73" s="16" t="s">
        <v>14</v>
      </c>
      <c r="D73" s="9"/>
      <c r="E73" s="9"/>
      <c r="F73" s="9"/>
      <c r="G73" s="142">
        <v>0</v>
      </c>
      <c r="H73" s="12" t="s">
        <v>7</v>
      </c>
      <c r="I73" s="9"/>
    </row>
    <row r="74" spans="1:9" x14ac:dyDescent="0.25">
      <c r="A74" s="9"/>
      <c r="B74" s="12"/>
      <c r="C74" s="16" t="s">
        <v>110</v>
      </c>
      <c r="D74" s="9"/>
      <c r="E74" s="9"/>
      <c r="F74" s="9"/>
      <c r="G74" s="142">
        <v>0.3</v>
      </c>
      <c r="H74" s="12" t="s">
        <v>7</v>
      </c>
      <c r="I74" s="9"/>
    </row>
    <row r="75" spans="1:9" x14ac:dyDescent="0.25">
      <c r="A75" s="9"/>
      <c r="B75" s="12"/>
      <c r="C75" s="16" t="s">
        <v>3</v>
      </c>
      <c r="D75" s="9"/>
      <c r="E75" s="9"/>
      <c r="F75" s="9"/>
      <c r="G75" s="142">
        <v>0.6</v>
      </c>
      <c r="H75" s="12" t="s">
        <v>7</v>
      </c>
      <c r="I75" s="9"/>
    </row>
    <row r="76" spans="1:9" x14ac:dyDescent="0.25">
      <c r="A76" s="9"/>
      <c r="B76" s="12"/>
      <c r="C76" s="16" t="s">
        <v>4</v>
      </c>
      <c r="D76" s="9"/>
      <c r="E76" s="9"/>
      <c r="F76" s="9"/>
      <c r="G76" s="142">
        <v>0.7</v>
      </c>
      <c r="H76" s="12" t="s">
        <v>7</v>
      </c>
      <c r="I76" s="9"/>
    </row>
    <row r="77" spans="1:9" x14ac:dyDescent="0.25">
      <c r="A77" s="9"/>
      <c r="B77" s="12"/>
      <c r="C77" s="16" t="s">
        <v>5</v>
      </c>
      <c r="D77" s="9"/>
      <c r="E77" s="9"/>
      <c r="F77" s="9"/>
      <c r="G77" s="142">
        <v>0.6</v>
      </c>
      <c r="H77" s="12" t="s">
        <v>7</v>
      </c>
      <c r="I77" s="9"/>
    </row>
    <row r="78" spans="1:9" x14ac:dyDescent="0.25">
      <c r="A78" s="9"/>
      <c r="B78" s="12"/>
      <c r="C78" s="16" t="s">
        <v>28</v>
      </c>
      <c r="D78" s="9"/>
      <c r="E78" s="9"/>
      <c r="F78" s="9"/>
      <c r="G78" s="142">
        <v>0</v>
      </c>
      <c r="H78" s="12" t="s">
        <v>7</v>
      </c>
      <c r="I78" s="9"/>
    </row>
    <row r="79" spans="1:9" x14ac:dyDescent="0.25">
      <c r="A79" s="9"/>
      <c r="B79" s="12"/>
      <c r="C79" s="16" t="s">
        <v>6</v>
      </c>
      <c r="D79" s="9"/>
      <c r="E79" s="9"/>
      <c r="F79" s="9"/>
      <c r="G79" s="142">
        <v>1</v>
      </c>
      <c r="H79" s="12" t="s">
        <v>7</v>
      </c>
      <c r="I79" s="9"/>
    </row>
    <row r="80" spans="1:9" x14ac:dyDescent="0.25">
      <c r="A80" s="9"/>
      <c r="B80" s="12"/>
      <c r="C80" s="16" t="s">
        <v>9</v>
      </c>
      <c r="D80" s="9"/>
      <c r="E80" s="9"/>
      <c r="F80" s="9"/>
      <c r="G80" s="143">
        <v>25</v>
      </c>
      <c r="H80" s="12"/>
      <c r="I80" s="9"/>
    </row>
    <row r="81" spans="1:9" x14ac:dyDescent="0.25">
      <c r="A81" s="9"/>
      <c r="B81" s="12"/>
      <c r="C81" s="16" t="s">
        <v>10</v>
      </c>
      <c r="D81" s="9"/>
      <c r="E81" s="9"/>
      <c r="F81" s="9"/>
      <c r="G81" s="142">
        <v>24</v>
      </c>
      <c r="H81" s="12" t="s">
        <v>145</v>
      </c>
      <c r="I81" s="9"/>
    </row>
    <row r="82" spans="1:9" x14ac:dyDescent="0.25">
      <c r="A82" s="9"/>
      <c r="B82" s="12"/>
      <c r="C82" s="16" t="s">
        <v>11</v>
      </c>
      <c r="D82" s="9"/>
      <c r="E82" s="9"/>
      <c r="F82" s="9"/>
      <c r="G82" s="142">
        <v>500</v>
      </c>
      <c r="H82" s="12"/>
      <c r="I82" s="9"/>
    </row>
    <row r="83" spans="1:9" x14ac:dyDescent="0.25">
      <c r="A83" s="9"/>
      <c r="B83" s="12"/>
      <c r="C83" s="16" t="s">
        <v>13</v>
      </c>
      <c r="D83" s="9"/>
      <c r="E83" s="9"/>
      <c r="F83" s="9"/>
      <c r="G83" s="142">
        <v>0.5</v>
      </c>
      <c r="H83" s="12"/>
      <c r="I83" s="9"/>
    </row>
    <row r="84" spans="1:9" x14ac:dyDescent="0.25">
      <c r="A84" s="9"/>
      <c r="B84" s="12"/>
      <c r="C84" s="16" t="s">
        <v>12</v>
      </c>
      <c r="D84" s="9"/>
      <c r="E84" s="9"/>
      <c r="F84" s="9"/>
      <c r="G84" s="142">
        <v>18</v>
      </c>
      <c r="H84" s="12" t="s">
        <v>145</v>
      </c>
      <c r="I84" s="9"/>
    </row>
    <row r="85" spans="1:9" x14ac:dyDescent="0.25">
      <c r="A85" s="9"/>
      <c r="B85" s="12"/>
      <c r="C85" s="16" t="s">
        <v>33</v>
      </c>
      <c r="D85" s="9"/>
      <c r="E85" s="9"/>
      <c r="F85" s="9"/>
      <c r="G85" s="142">
        <v>10</v>
      </c>
      <c r="H85" s="12" t="s">
        <v>145</v>
      </c>
      <c r="I85" s="9"/>
    </row>
    <row r="86" spans="1:9" x14ac:dyDescent="0.25">
      <c r="A86" s="9"/>
      <c r="B86" s="12"/>
      <c r="C86" s="16" t="s">
        <v>111</v>
      </c>
      <c r="D86" s="9"/>
      <c r="E86" s="9"/>
      <c r="F86" s="9"/>
      <c r="G86" s="142">
        <v>22</v>
      </c>
      <c r="H86" s="12" t="s">
        <v>145</v>
      </c>
      <c r="I86" s="9"/>
    </row>
    <row r="87" spans="1:9" x14ac:dyDescent="0.25">
      <c r="A87" s="9"/>
      <c r="B87" s="12"/>
      <c r="C87" s="16" t="s">
        <v>61</v>
      </c>
      <c r="D87" s="9"/>
      <c r="E87" s="9"/>
      <c r="F87" s="9"/>
      <c r="G87" s="142">
        <v>10</v>
      </c>
      <c r="H87" s="12"/>
      <c r="I87" s="9"/>
    </row>
    <row r="88" spans="1:9" x14ac:dyDescent="0.25">
      <c r="A88" s="9"/>
      <c r="B88" s="9"/>
      <c r="C88" s="16" t="s">
        <v>122</v>
      </c>
      <c r="D88" s="9"/>
      <c r="E88" s="9"/>
      <c r="F88" s="9"/>
      <c r="G88" s="142">
        <v>7.5</v>
      </c>
      <c r="H88" s="12" t="s">
        <v>7</v>
      </c>
      <c r="I88" s="9"/>
    </row>
    <row r="89" spans="1:9" x14ac:dyDescent="0.25">
      <c r="A89" s="9"/>
      <c r="B89" s="9"/>
      <c r="C89" s="16" t="s">
        <v>123</v>
      </c>
      <c r="D89" s="9"/>
      <c r="E89" s="9"/>
      <c r="F89" s="9"/>
      <c r="G89" s="142">
        <v>2</v>
      </c>
      <c r="H89" s="12"/>
      <c r="I89" s="9"/>
    </row>
    <row r="90" spans="1:9" x14ac:dyDescent="0.25">
      <c r="A90" s="9"/>
      <c r="B90" s="9"/>
      <c r="C90" s="17"/>
      <c r="D90" s="18"/>
      <c r="E90" s="18"/>
      <c r="F90" s="18"/>
      <c r="G90" s="144" t="s">
        <v>124</v>
      </c>
      <c r="H90" s="140"/>
      <c r="I90" s="9"/>
    </row>
    <row r="91" spans="1:9" x14ac:dyDescent="0.25">
      <c r="A91" s="9"/>
      <c r="B91" s="9"/>
      <c r="C91" s="9"/>
      <c r="D91" s="9"/>
      <c r="E91" s="9"/>
      <c r="F91" s="9"/>
      <c r="G91" s="9"/>
      <c r="H91" s="9"/>
      <c r="I91" s="9"/>
    </row>
    <row r="92" spans="1:9" x14ac:dyDescent="0.25">
      <c r="A92" s="9"/>
      <c r="B92" s="9"/>
      <c r="C92" s="9"/>
      <c r="D92" s="9"/>
      <c r="E92" s="9"/>
      <c r="F92" s="9"/>
      <c r="G92" s="9"/>
      <c r="H92" s="9"/>
      <c r="I92" s="9"/>
    </row>
    <row r="93" spans="1:9" x14ac:dyDescent="0.25">
      <c r="A93" s="9"/>
      <c r="B93" s="9"/>
      <c r="C93" s="9"/>
      <c r="D93" s="9"/>
      <c r="E93" s="9"/>
      <c r="F93" s="9"/>
      <c r="G93" s="9"/>
      <c r="H93" s="9"/>
      <c r="I93" s="9"/>
    </row>
    <row r="94" spans="1:9" x14ac:dyDescent="0.25">
      <c r="A94" s="9"/>
      <c r="B94" s="9"/>
      <c r="C94" s="9"/>
      <c r="D94" s="9"/>
      <c r="E94" s="9"/>
      <c r="F94" s="9"/>
      <c r="G94" s="9"/>
      <c r="H94" s="9"/>
      <c r="I94" s="9"/>
    </row>
    <row r="95" spans="1:9" x14ac:dyDescent="0.25">
      <c r="A95" s="9"/>
      <c r="B95" s="9"/>
      <c r="C95" s="9"/>
      <c r="D95" s="9"/>
      <c r="E95" s="9"/>
      <c r="F95" s="9"/>
      <c r="G95" s="9"/>
      <c r="H95" s="9"/>
      <c r="I95" s="9"/>
    </row>
    <row r="96" spans="1:9" x14ac:dyDescent="0.25">
      <c r="A96" s="9"/>
      <c r="B96" s="9"/>
      <c r="C96" s="9"/>
      <c r="D96" s="9"/>
      <c r="E96" s="9"/>
      <c r="F96" s="9"/>
      <c r="G96" s="9"/>
      <c r="H96" s="9"/>
      <c r="I96" s="9"/>
    </row>
    <row r="97" spans="1:9" x14ac:dyDescent="0.25">
      <c r="A97" s="9"/>
      <c r="B97" s="9"/>
      <c r="C97" s="9"/>
      <c r="D97" s="9"/>
      <c r="E97" s="9"/>
      <c r="F97" s="9"/>
      <c r="G97" s="9"/>
      <c r="H97" s="9"/>
      <c r="I97" s="9"/>
    </row>
    <row r="98" spans="1:9" x14ac:dyDescent="0.25">
      <c r="A98" s="9"/>
      <c r="B98" s="9" t="s">
        <v>15</v>
      </c>
      <c r="C98" s="9"/>
      <c r="D98" s="9"/>
      <c r="E98" s="9"/>
      <c r="F98" s="9"/>
      <c r="G98" s="9" t="s">
        <v>16</v>
      </c>
      <c r="H98" s="19">
        <f>G71+G77</f>
        <v>6.6</v>
      </c>
      <c r="I98" s="9" t="s">
        <v>7</v>
      </c>
    </row>
    <row r="99" spans="1:9" x14ac:dyDescent="0.25">
      <c r="A99" s="9"/>
      <c r="B99" s="9" t="s">
        <v>18</v>
      </c>
      <c r="C99" s="9"/>
      <c r="D99" s="9"/>
      <c r="E99" s="9"/>
      <c r="F99" s="9"/>
      <c r="G99" s="9" t="s">
        <v>16</v>
      </c>
      <c r="H99" s="19">
        <f>G71+2*G77</f>
        <v>7.2</v>
      </c>
      <c r="I99" s="9" t="s">
        <v>7</v>
      </c>
    </row>
    <row r="100" spans="1:9" x14ac:dyDescent="0.25">
      <c r="A100" s="9"/>
      <c r="B100" s="9" t="s">
        <v>17</v>
      </c>
      <c r="C100" s="9"/>
      <c r="D100" s="9"/>
      <c r="E100" s="9"/>
      <c r="F100" s="9"/>
      <c r="G100" s="9" t="s">
        <v>16</v>
      </c>
      <c r="H100" s="19">
        <f>G72+G75/2+G76/2</f>
        <v>4.6499999999999995</v>
      </c>
      <c r="I100" s="9" t="s">
        <v>7</v>
      </c>
    </row>
    <row r="101" spans="1:9" x14ac:dyDescent="0.25">
      <c r="A101" s="9"/>
      <c r="B101" s="9" t="s">
        <v>19</v>
      </c>
      <c r="C101" s="9"/>
      <c r="D101" s="9"/>
      <c r="E101" s="9"/>
      <c r="F101" s="9"/>
      <c r="G101" s="9" t="s">
        <v>16</v>
      </c>
      <c r="H101" s="9">
        <f>G72+G75+G76</f>
        <v>5.3</v>
      </c>
      <c r="I101" s="9" t="s">
        <v>7</v>
      </c>
    </row>
    <row r="102" spans="1:9" x14ac:dyDescent="0.25">
      <c r="A102" s="9"/>
      <c r="B102" s="9"/>
      <c r="C102" s="9"/>
      <c r="D102" s="9"/>
      <c r="E102" s="9"/>
      <c r="F102" s="9"/>
      <c r="G102" s="9"/>
      <c r="H102" s="9"/>
      <c r="I102" s="9"/>
    </row>
    <row r="103" spans="1:9" x14ac:dyDescent="0.25">
      <c r="A103" s="9"/>
      <c r="B103" s="9" t="s">
        <v>20</v>
      </c>
      <c r="C103" s="9"/>
      <c r="D103" s="9"/>
      <c r="E103" s="9"/>
      <c r="F103" s="9"/>
      <c r="G103" s="9"/>
      <c r="H103" s="9"/>
      <c r="I103" s="9"/>
    </row>
    <row r="104" spans="1:9" x14ac:dyDescent="0.25">
      <c r="A104" s="9"/>
      <c r="B104" s="9"/>
      <c r="C104" s="9"/>
      <c r="D104" s="9"/>
      <c r="E104" s="9"/>
      <c r="F104" s="9"/>
      <c r="G104" s="9"/>
      <c r="H104" s="9"/>
      <c r="I104" s="9"/>
    </row>
    <row r="105" spans="1:9" x14ac:dyDescent="0.25">
      <c r="A105" s="9"/>
      <c r="B105" s="9"/>
      <c r="C105" s="9"/>
      <c r="D105" s="9"/>
      <c r="E105" s="9"/>
      <c r="F105" s="9"/>
      <c r="G105" s="9"/>
      <c r="H105" s="9"/>
      <c r="I105" s="9"/>
    </row>
    <row r="106" spans="1:9" x14ac:dyDescent="0.25">
      <c r="A106" s="9"/>
      <c r="B106" s="9"/>
      <c r="C106" s="9"/>
      <c r="D106" s="9"/>
      <c r="E106" s="9"/>
      <c r="F106" s="9"/>
      <c r="G106" s="9"/>
      <c r="H106" s="9"/>
      <c r="I106" s="9"/>
    </row>
    <row r="107" spans="1:9" x14ac:dyDescent="0.25">
      <c r="A107" s="9"/>
      <c r="B107" s="9" t="s">
        <v>21</v>
      </c>
      <c r="C107" s="9"/>
      <c r="D107" s="9"/>
      <c r="E107" s="9"/>
      <c r="F107" s="9"/>
      <c r="G107" s="9"/>
      <c r="H107" s="9"/>
      <c r="I107" s="9"/>
    </row>
    <row r="108" spans="1:9" x14ac:dyDescent="0.25">
      <c r="A108" s="9"/>
      <c r="B108" s="9"/>
      <c r="C108" s="9"/>
      <c r="D108" s="9"/>
      <c r="E108" s="9"/>
      <c r="F108" s="9"/>
      <c r="G108" s="9"/>
      <c r="H108" s="9"/>
      <c r="I108" s="9"/>
    </row>
    <row r="109" spans="1:9" x14ac:dyDescent="0.25">
      <c r="A109" s="9"/>
      <c r="B109" s="9"/>
      <c r="C109" s="9"/>
      <c r="D109" s="10">
        <v>350</v>
      </c>
      <c r="E109" s="9"/>
      <c r="F109" s="11">
        <f>350</f>
        <v>350</v>
      </c>
      <c r="G109" s="9"/>
      <c r="H109" s="9"/>
      <c r="I109" s="9"/>
    </row>
    <row r="110" spans="1:9" x14ac:dyDescent="0.25">
      <c r="A110" s="9"/>
      <c r="B110" s="9"/>
      <c r="C110" s="9"/>
      <c r="D110" s="9"/>
      <c r="E110" s="9"/>
      <c r="F110" s="9"/>
      <c r="G110" s="9"/>
      <c r="H110" s="9"/>
      <c r="I110" s="9"/>
    </row>
    <row r="111" spans="1:9" x14ac:dyDescent="0.2">
      <c r="A111" s="9"/>
      <c r="B111" s="9"/>
      <c r="C111" s="9"/>
      <c r="D111" s="10">
        <f>0.84</f>
        <v>0.84</v>
      </c>
      <c r="E111" s="20">
        <v>1.22</v>
      </c>
      <c r="F111" s="11">
        <f>0.84</f>
        <v>0.84</v>
      </c>
      <c r="G111" s="9"/>
      <c r="H111" s="9"/>
      <c r="I111" s="9"/>
    </row>
    <row r="112" spans="1:9" x14ac:dyDescent="0.25">
      <c r="A112" s="9"/>
      <c r="B112" s="9"/>
      <c r="C112" s="9"/>
      <c r="D112" s="9"/>
      <c r="E112" s="9"/>
      <c r="F112" s="9"/>
      <c r="G112" s="9"/>
      <c r="H112" s="9"/>
      <c r="I112" s="9"/>
    </row>
    <row r="113" spans="1:9" x14ac:dyDescent="0.25">
      <c r="A113" s="9"/>
      <c r="B113" s="9"/>
      <c r="C113" s="9"/>
      <c r="D113" s="9"/>
      <c r="E113" s="9"/>
      <c r="F113" s="9"/>
      <c r="G113" s="9"/>
      <c r="H113" s="9"/>
      <c r="I113" s="9"/>
    </row>
    <row r="114" spans="1:9" x14ac:dyDescent="0.25">
      <c r="A114" s="9"/>
      <c r="B114" s="9"/>
      <c r="C114" s="9"/>
      <c r="D114" s="9"/>
      <c r="E114" s="9"/>
      <c r="F114" s="9"/>
      <c r="G114" s="9"/>
      <c r="H114" s="9"/>
      <c r="I114" s="10">
        <f>G73+G74</f>
        <v>0.3</v>
      </c>
    </row>
    <row r="115" spans="1:9" x14ac:dyDescent="0.25">
      <c r="A115" s="9"/>
      <c r="B115" s="9"/>
      <c r="C115" s="9"/>
      <c r="D115" s="9"/>
      <c r="E115" s="9"/>
      <c r="F115" s="9"/>
      <c r="G115" s="9"/>
      <c r="H115" s="9"/>
      <c r="I115" s="9"/>
    </row>
    <row r="116" spans="1:9" x14ac:dyDescent="0.25">
      <c r="A116" s="9"/>
      <c r="B116" s="9"/>
      <c r="C116" s="9"/>
      <c r="D116" s="9"/>
      <c r="E116" s="9"/>
      <c r="F116" s="9"/>
      <c r="G116" s="9"/>
      <c r="H116" s="9"/>
      <c r="I116" s="9"/>
    </row>
    <row r="117" spans="1:9" x14ac:dyDescent="0.25">
      <c r="A117" s="9"/>
      <c r="B117" s="9"/>
      <c r="C117" s="9"/>
      <c r="D117" s="11">
        <f>D111+2*I114</f>
        <v>1.44</v>
      </c>
      <c r="E117" s="11">
        <f>IF(E111-I114*2&gt;0,E111-I114*2,"Overlapped")</f>
        <v>0.62</v>
      </c>
      <c r="F117" s="9">
        <f>F111+2*I114</f>
        <v>1.44</v>
      </c>
      <c r="G117" s="9"/>
      <c r="H117" s="9"/>
      <c r="I117" s="9"/>
    </row>
    <row r="118" spans="1:9" x14ac:dyDescent="0.25">
      <c r="A118" s="9"/>
      <c r="B118" s="9"/>
      <c r="C118" s="9"/>
      <c r="D118" s="9"/>
      <c r="E118" s="9"/>
      <c r="F118" s="9"/>
      <c r="G118" s="9"/>
      <c r="H118" s="9"/>
      <c r="I118" s="9"/>
    </row>
    <row r="119" spans="1:9" x14ac:dyDescent="0.25">
      <c r="A119" s="9"/>
      <c r="B119" s="9"/>
      <c r="C119" s="9"/>
      <c r="D119" s="9"/>
      <c r="E119" s="9"/>
      <c r="F119" s="9"/>
      <c r="G119" s="9"/>
      <c r="H119" s="9"/>
      <c r="I119" s="9"/>
    </row>
    <row r="120" spans="1:9" x14ac:dyDescent="0.25">
      <c r="A120" s="9"/>
      <c r="B120" s="9"/>
      <c r="C120" s="9"/>
      <c r="D120" s="9"/>
      <c r="E120" s="9"/>
      <c r="F120" s="9"/>
      <c r="G120" s="9"/>
      <c r="H120" s="9"/>
      <c r="I120" s="10"/>
    </row>
    <row r="121" spans="1:9" x14ac:dyDescent="0.25">
      <c r="A121" s="9"/>
      <c r="B121" s="9"/>
      <c r="C121" s="9"/>
      <c r="D121" s="9"/>
      <c r="E121" s="11">
        <f>IF(I114&gt;E111/2,2*I114+D111+F111+E111,D111+2*I114)</f>
        <v>1.44</v>
      </c>
      <c r="F121" s="9"/>
      <c r="G121" s="9"/>
      <c r="H121" s="9"/>
      <c r="I121" s="9"/>
    </row>
    <row r="122" spans="1:9" x14ac:dyDescent="0.25">
      <c r="A122" s="9"/>
      <c r="B122" s="9" t="s">
        <v>22</v>
      </c>
      <c r="C122" s="9"/>
      <c r="D122" s="9"/>
      <c r="E122" s="9"/>
      <c r="F122" s="9"/>
      <c r="G122" s="9"/>
      <c r="H122" s="9"/>
      <c r="I122" s="9"/>
    </row>
    <row r="123" spans="1:9" x14ac:dyDescent="0.25">
      <c r="A123" s="9"/>
      <c r="B123" s="9"/>
      <c r="C123" s="9"/>
      <c r="D123" s="9"/>
      <c r="E123" s="9"/>
      <c r="F123" s="9"/>
      <c r="G123" s="9"/>
      <c r="H123" s="9"/>
      <c r="I123" s="9"/>
    </row>
    <row r="124" spans="1:9" x14ac:dyDescent="0.25">
      <c r="A124" s="9"/>
      <c r="B124" s="9"/>
      <c r="C124" s="9"/>
      <c r="D124" s="9"/>
      <c r="E124" s="9"/>
      <c r="F124" s="9"/>
      <c r="G124" s="9"/>
      <c r="H124" s="9"/>
      <c r="I124" s="9"/>
    </row>
    <row r="125" spans="1:9" x14ac:dyDescent="0.25">
      <c r="A125" s="9"/>
      <c r="B125" s="9"/>
      <c r="C125" s="9"/>
      <c r="D125" s="9"/>
      <c r="E125" s="11">
        <v>350</v>
      </c>
      <c r="F125" s="9"/>
      <c r="G125" s="9"/>
      <c r="H125" s="9"/>
      <c r="I125" s="9"/>
    </row>
    <row r="126" spans="1:9" x14ac:dyDescent="0.25">
      <c r="A126" s="9"/>
      <c r="B126" s="9"/>
      <c r="C126" s="9"/>
      <c r="D126" s="9"/>
      <c r="E126" s="9"/>
      <c r="F126" s="9"/>
      <c r="G126" s="9"/>
      <c r="H126" s="9"/>
      <c r="I126" s="9"/>
    </row>
    <row r="127" spans="1:9" x14ac:dyDescent="0.25">
      <c r="A127" s="9"/>
      <c r="B127" s="9"/>
      <c r="C127" s="9"/>
      <c r="D127" s="9"/>
      <c r="E127" s="11">
        <v>4.57</v>
      </c>
      <c r="F127" s="9"/>
      <c r="G127" s="9"/>
      <c r="H127" s="9"/>
      <c r="I127" s="9"/>
    </row>
    <row r="128" spans="1:9" x14ac:dyDescent="0.25">
      <c r="A128" s="9"/>
      <c r="B128" s="9"/>
      <c r="C128" s="9"/>
      <c r="D128" s="9"/>
      <c r="E128" s="9"/>
      <c r="F128" s="9"/>
      <c r="G128" s="9"/>
      <c r="H128" s="9"/>
      <c r="I128" s="9"/>
    </row>
    <row r="129" spans="1:9" x14ac:dyDescent="0.25">
      <c r="A129" s="9"/>
      <c r="B129" s="9"/>
      <c r="C129" s="9"/>
      <c r="D129" s="9"/>
      <c r="E129" s="9"/>
      <c r="F129" s="9"/>
      <c r="G129" s="9"/>
      <c r="H129" s="11">
        <f>G73+G74</f>
        <v>0.3</v>
      </c>
      <c r="I129" s="9"/>
    </row>
    <row r="130" spans="1:9" x14ac:dyDescent="0.25">
      <c r="A130" s="9"/>
      <c r="B130" s="9"/>
      <c r="C130" s="9"/>
      <c r="D130" s="9"/>
      <c r="E130" s="9"/>
      <c r="F130" s="9"/>
      <c r="G130" s="9"/>
      <c r="H130" s="9"/>
      <c r="I130" s="9"/>
    </row>
    <row r="131" spans="1:9" x14ac:dyDescent="0.25">
      <c r="A131" s="9"/>
      <c r="B131" s="9"/>
      <c r="C131" s="9"/>
      <c r="D131" s="9"/>
      <c r="E131" s="9"/>
      <c r="F131" s="9"/>
      <c r="G131" s="9"/>
      <c r="H131" s="9"/>
      <c r="I131" s="9"/>
    </row>
    <row r="132" spans="1:9" x14ac:dyDescent="0.25">
      <c r="A132" s="9"/>
      <c r="B132" s="9"/>
      <c r="C132" s="9"/>
      <c r="D132" s="9"/>
      <c r="E132" s="9"/>
      <c r="F132" s="9"/>
      <c r="G132" s="9"/>
      <c r="H132" s="9"/>
      <c r="I132" s="9"/>
    </row>
    <row r="133" spans="1:9" x14ac:dyDescent="0.25">
      <c r="A133" s="9"/>
      <c r="B133" s="9"/>
      <c r="C133" s="9"/>
      <c r="D133" s="9"/>
      <c r="E133" s="9"/>
      <c r="F133" s="9"/>
      <c r="G133" s="9"/>
      <c r="H133" s="9"/>
      <c r="I133" s="9"/>
    </row>
    <row r="134" spans="1:9" x14ac:dyDescent="0.25">
      <c r="A134" s="9"/>
      <c r="B134" s="9"/>
      <c r="C134" s="9"/>
      <c r="D134" s="9"/>
      <c r="E134" s="11">
        <f>2*H129+E127</f>
        <v>5.17</v>
      </c>
      <c r="F134" s="9"/>
      <c r="G134" s="9"/>
      <c r="H134" s="9"/>
      <c r="I134" s="9"/>
    </row>
    <row r="135" spans="1:9" x14ac:dyDescent="0.25">
      <c r="A135" s="9"/>
      <c r="B135" s="9"/>
      <c r="C135" s="9"/>
      <c r="D135" s="9"/>
      <c r="E135" s="9"/>
      <c r="F135" s="9"/>
      <c r="G135" s="9"/>
      <c r="H135" s="9"/>
      <c r="I135" s="9"/>
    </row>
    <row r="136" spans="1:9" x14ac:dyDescent="0.25">
      <c r="A136" s="9"/>
      <c r="B136" s="9"/>
      <c r="C136" s="9"/>
      <c r="D136" s="9"/>
      <c r="E136" s="9"/>
      <c r="F136" s="9"/>
      <c r="G136" s="9"/>
      <c r="H136" s="9"/>
      <c r="I136" s="9"/>
    </row>
    <row r="137" spans="1:9" x14ac:dyDescent="0.25">
      <c r="A137" s="9"/>
      <c r="B137" s="9" t="s">
        <v>112</v>
      </c>
      <c r="C137" s="9"/>
      <c r="D137" s="9"/>
      <c r="E137" s="9"/>
      <c r="F137" s="9" t="s">
        <v>16</v>
      </c>
      <c r="G137" s="21">
        <f>D109/D117/E134</f>
        <v>47.012679991403402</v>
      </c>
      <c r="H137" s="9" t="s">
        <v>146</v>
      </c>
      <c r="I137" s="9"/>
    </row>
    <row r="138" spans="1:9" x14ac:dyDescent="0.25">
      <c r="A138" s="9"/>
      <c r="B138" s="9" t="s">
        <v>125</v>
      </c>
      <c r="C138" s="9"/>
      <c r="D138" s="9"/>
      <c r="E138" s="9"/>
      <c r="F138" s="9" t="s">
        <v>16</v>
      </c>
      <c r="G138" s="22">
        <f>1.25*G137</f>
        <v>58.765849989254249</v>
      </c>
      <c r="H138" s="9" t="s">
        <v>146</v>
      </c>
      <c r="I138" s="9"/>
    </row>
    <row r="139" spans="1:9" x14ac:dyDescent="0.25">
      <c r="A139" s="9"/>
      <c r="B139" s="9"/>
      <c r="C139" s="9"/>
      <c r="D139" s="9"/>
      <c r="E139" s="9"/>
      <c r="F139" s="9"/>
      <c r="G139" s="9"/>
      <c r="H139" s="9"/>
      <c r="I139" s="9"/>
    </row>
    <row r="140" spans="1:9" x14ac:dyDescent="0.25">
      <c r="A140" s="9"/>
      <c r="B140" s="9"/>
      <c r="C140" s="9"/>
      <c r="D140" s="9"/>
      <c r="E140" s="9"/>
      <c r="F140" s="9"/>
      <c r="G140" s="9"/>
      <c r="H140" s="9"/>
      <c r="I140" s="9"/>
    </row>
    <row r="141" spans="1:9" x14ac:dyDescent="0.25">
      <c r="A141" s="9"/>
      <c r="B141" s="9"/>
      <c r="C141" s="9"/>
      <c r="D141" s="9"/>
      <c r="E141" s="9"/>
      <c r="F141" s="9"/>
      <c r="G141" s="9"/>
      <c r="H141" s="9"/>
      <c r="I141" s="9"/>
    </row>
    <row r="142" spans="1:9" x14ac:dyDescent="0.25">
      <c r="A142" s="9"/>
      <c r="B142" s="9" t="s">
        <v>113</v>
      </c>
      <c r="C142" s="9"/>
      <c r="D142" s="9"/>
      <c r="E142" s="9"/>
      <c r="F142" s="9"/>
      <c r="G142" s="9"/>
      <c r="H142" s="9"/>
      <c r="I142" s="9"/>
    </row>
    <row r="143" spans="1:9" x14ac:dyDescent="0.25">
      <c r="A143" s="9"/>
      <c r="B143" s="9"/>
      <c r="C143" s="9"/>
      <c r="D143" s="9"/>
      <c r="E143" s="9"/>
      <c r="F143" s="9"/>
      <c r="G143" s="9"/>
      <c r="H143" s="9"/>
      <c r="I143" s="9"/>
    </row>
    <row r="144" spans="1:9" x14ac:dyDescent="0.25">
      <c r="A144" s="9"/>
      <c r="B144" s="9"/>
      <c r="C144" s="9" t="s">
        <v>24</v>
      </c>
      <c r="D144" s="9"/>
      <c r="E144" s="9"/>
      <c r="F144" s="9" t="s">
        <v>16</v>
      </c>
      <c r="G144" s="21">
        <f>G75*G81+G73*G84+G138+IF(G74*G86&gt;2,G74*G86,2)</f>
        <v>79.765849989254235</v>
      </c>
      <c r="H144" s="9" t="s">
        <v>146</v>
      </c>
      <c r="I144" s="9"/>
    </row>
    <row r="145" spans="1:9" x14ac:dyDescent="0.25">
      <c r="A145" s="9"/>
      <c r="B145" s="9"/>
      <c r="C145" s="9" t="s">
        <v>23</v>
      </c>
      <c r="D145" s="9"/>
      <c r="E145" s="9"/>
      <c r="F145" s="9" t="s">
        <v>16</v>
      </c>
      <c r="G145" s="21">
        <f>(G77*G72*G81*2/H99)+G75*G81+G73*G84+G137+IF(G74*G86&gt;2,G74*G86,2)</f>
        <v>84.012679991403388</v>
      </c>
      <c r="H145" s="9" t="s">
        <v>146</v>
      </c>
      <c r="I145" s="9"/>
    </row>
    <row r="146" spans="1:9" x14ac:dyDescent="0.25">
      <c r="A146" s="9"/>
      <c r="B146" s="9"/>
      <c r="C146" s="9" t="s">
        <v>26</v>
      </c>
      <c r="D146" s="9"/>
      <c r="E146" s="9"/>
      <c r="F146" s="9" t="s">
        <v>16</v>
      </c>
      <c r="G146" s="11" t="s">
        <v>25</v>
      </c>
      <c r="H146" s="9"/>
      <c r="I146" s="9"/>
    </row>
    <row r="147" spans="1:9" x14ac:dyDescent="0.25">
      <c r="A147" s="9"/>
      <c r="B147" s="9"/>
      <c r="C147" s="9"/>
      <c r="D147" s="9"/>
      <c r="E147" s="9"/>
      <c r="F147" s="9"/>
      <c r="G147" s="9"/>
      <c r="H147" s="9"/>
      <c r="I147" s="9"/>
    </row>
    <row r="148" spans="1:9" x14ac:dyDescent="0.25">
      <c r="A148" s="9"/>
      <c r="B148" s="9"/>
      <c r="C148" s="23" t="s">
        <v>27</v>
      </c>
      <c r="D148" s="9"/>
      <c r="E148" s="9"/>
      <c r="F148" s="23" t="s">
        <v>16</v>
      </c>
      <c r="G148" s="24">
        <f>(G76*G81+G145)*H99/(H99+2*G78)</f>
        <v>100.81267999140339</v>
      </c>
      <c r="H148" s="23" t="s">
        <v>147</v>
      </c>
      <c r="I148" s="9"/>
    </row>
    <row r="149" spans="1:9" x14ac:dyDescent="0.25">
      <c r="A149" s="9"/>
      <c r="B149" s="9"/>
      <c r="C149" s="23" t="s">
        <v>31</v>
      </c>
      <c r="D149" s="9"/>
      <c r="E149" s="9"/>
      <c r="F149" s="23" t="s">
        <v>16</v>
      </c>
      <c r="G149" s="24">
        <f>CEILING(G148,50)</f>
        <v>150</v>
      </c>
      <c r="H149" s="23" t="s">
        <v>147</v>
      </c>
      <c r="I149" s="9"/>
    </row>
    <row r="150" spans="1:9" x14ac:dyDescent="0.25">
      <c r="A150" s="9"/>
      <c r="B150" s="9"/>
      <c r="C150" s="9"/>
      <c r="D150" s="9"/>
      <c r="E150" s="9"/>
      <c r="F150" s="9"/>
      <c r="G150" s="9"/>
      <c r="H150" s="9"/>
      <c r="I150" s="9"/>
    </row>
    <row r="151" spans="1:9" x14ac:dyDescent="0.25">
      <c r="A151" s="9"/>
      <c r="B151" s="9" t="s">
        <v>29</v>
      </c>
      <c r="C151" s="9"/>
      <c r="D151" s="9"/>
      <c r="E151" s="9"/>
      <c r="F151" s="9"/>
      <c r="G151" s="9"/>
      <c r="H151" s="9"/>
      <c r="I151" s="9"/>
    </row>
    <row r="152" spans="1:9" x14ac:dyDescent="0.25">
      <c r="A152" s="9"/>
      <c r="B152" s="9"/>
      <c r="C152" s="9" t="s">
        <v>30</v>
      </c>
      <c r="D152" s="9"/>
      <c r="E152" s="9"/>
      <c r="F152" s="9"/>
      <c r="G152" s="9"/>
      <c r="H152" s="9"/>
      <c r="I152" s="9"/>
    </row>
    <row r="153" spans="1:9" x14ac:dyDescent="0.25">
      <c r="A153" s="9"/>
      <c r="B153" s="9"/>
      <c r="C153" s="9"/>
      <c r="D153" s="9"/>
      <c r="E153" s="9"/>
      <c r="F153" s="9"/>
      <c r="G153" s="9"/>
      <c r="H153" s="9"/>
      <c r="I153" s="9"/>
    </row>
    <row r="154" spans="1:9" x14ac:dyDescent="0.25">
      <c r="A154" s="9"/>
      <c r="B154" s="9"/>
      <c r="C154" s="9"/>
      <c r="D154" s="9"/>
      <c r="E154" s="11">
        <f>G83*G84*(G73+G74)</f>
        <v>2.6999999999999997</v>
      </c>
      <c r="F154" s="11">
        <f>G83*G84*1.2</f>
        <v>10.799999999999999</v>
      </c>
      <c r="G154" s="9"/>
      <c r="H154" s="9"/>
      <c r="I154" s="9"/>
    </row>
    <row r="155" spans="1:9" x14ac:dyDescent="0.25">
      <c r="A155" s="9"/>
      <c r="B155" s="9"/>
      <c r="C155" s="9"/>
      <c r="D155" s="9"/>
      <c r="E155" s="9"/>
      <c r="F155" s="9"/>
      <c r="G155" s="9"/>
      <c r="H155" s="9"/>
      <c r="I155" s="9"/>
    </row>
    <row r="156" spans="1:9" x14ac:dyDescent="0.25">
      <c r="A156" s="9"/>
      <c r="B156" s="9"/>
      <c r="C156" s="9"/>
      <c r="D156" s="9"/>
      <c r="E156" s="9"/>
      <c r="F156" s="9"/>
      <c r="G156" s="9"/>
      <c r="H156" s="9"/>
      <c r="I156" s="9"/>
    </row>
    <row r="157" spans="1:9" x14ac:dyDescent="0.25">
      <c r="A157" s="9"/>
      <c r="B157" s="9"/>
      <c r="C157" s="9"/>
      <c r="D157" s="9"/>
      <c r="E157" s="9"/>
      <c r="F157" s="9"/>
      <c r="G157" s="9"/>
      <c r="H157" s="9"/>
      <c r="I157" s="9"/>
    </row>
    <row r="158" spans="1:9" x14ac:dyDescent="0.25">
      <c r="A158" s="9"/>
      <c r="B158" s="9"/>
      <c r="C158" s="9"/>
      <c r="D158" s="9"/>
      <c r="E158" s="9"/>
      <c r="F158" s="9"/>
      <c r="G158" s="9"/>
      <c r="H158" s="9"/>
      <c r="I158" s="9"/>
    </row>
    <row r="159" spans="1:9" x14ac:dyDescent="0.25">
      <c r="A159" s="9"/>
      <c r="B159" s="9"/>
      <c r="C159" s="9"/>
      <c r="D159" s="9"/>
      <c r="E159" s="11">
        <f>E167*C161</f>
        <v>12.554999999999998</v>
      </c>
      <c r="F159" s="9"/>
      <c r="G159" s="9"/>
      <c r="H159" s="9"/>
      <c r="I159" s="9"/>
    </row>
    <row r="160" spans="1:9" x14ac:dyDescent="0.25">
      <c r="A160" s="9"/>
      <c r="B160" s="9"/>
      <c r="C160" s="9"/>
      <c r="D160" s="9"/>
      <c r="E160" s="9"/>
      <c r="F160" s="9"/>
      <c r="G160" s="9"/>
      <c r="H160" s="9">
        <f>F167*C161</f>
        <v>50.219999999999992</v>
      </c>
      <c r="I160" s="9"/>
    </row>
    <row r="161" spans="1:9" x14ac:dyDescent="0.25">
      <c r="A161" s="9"/>
      <c r="B161" s="9"/>
      <c r="C161" s="9">
        <f>H100</f>
        <v>4.6499999999999995</v>
      </c>
      <c r="D161" s="9"/>
      <c r="E161" s="9"/>
      <c r="F161" s="9"/>
      <c r="G161" s="9"/>
      <c r="H161" s="9"/>
      <c r="I161" s="9"/>
    </row>
    <row r="162" spans="1:9" x14ac:dyDescent="0.25">
      <c r="A162" s="9"/>
      <c r="B162" s="9"/>
      <c r="C162" s="9"/>
      <c r="D162" s="9"/>
      <c r="E162" s="9"/>
      <c r="F162" s="9"/>
      <c r="G162" s="9"/>
      <c r="H162" s="9">
        <f>0.5*G167*C161</f>
        <v>97.301249999999982</v>
      </c>
      <c r="I162" s="9"/>
    </row>
    <row r="163" spans="1:9" x14ac:dyDescent="0.25">
      <c r="A163" s="9"/>
      <c r="B163" s="9"/>
      <c r="C163" s="9"/>
      <c r="D163" s="9"/>
      <c r="E163" s="9"/>
      <c r="F163" s="9"/>
      <c r="G163" s="9"/>
      <c r="H163" s="9"/>
      <c r="I163" s="9"/>
    </row>
    <row r="164" spans="1:9" x14ac:dyDescent="0.25">
      <c r="A164" s="9"/>
      <c r="B164" s="9"/>
      <c r="C164" s="9"/>
      <c r="D164" s="9"/>
      <c r="E164" s="9"/>
      <c r="F164" s="9"/>
      <c r="G164" s="9"/>
      <c r="H164" s="9"/>
      <c r="I164" s="9"/>
    </row>
    <row r="165" spans="1:9" x14ac:dyDescent="0.25">
      <c r="A165" s="9"/>
      <c r="B165" s="9"/>
      <c r="C165" s="9"/>
      <c r="D165" s="9"/>
      <c r="E165" s="9"/>
      <c r="F165" s="9"/>
      <c r="G165" s="9"/>
      <c r="H165" s="9"/>
      <c r="I165" s="9"/>
    </row>
    <row r="166" spans="1:9" x14ac:dyDescent="0.25">
      <c r="A166" s="9"/>
      <c r="B166" s="9"/>
      <c r="C166" s="9"/>
      <c r="D166" s="9"/>
      <c r="E166" s="9"/>
      <c r="F166" s="9"/>
      <c r="G166" s="9"/>
      <c r="H166" s="9"/>
      <c r="I166" s="9"/>
    </row>
    <row r="167" spans="1:9" x14ac:dyDescent="0.25">
      <c r="A167" s="9"/>
      <c r="B167" s="9"/>
      <c r="C167" s="9"/>
      <c r="D167" s="9"/>
      <c r="E167" s="11">
        <f>E154</f>
        <v>2.6999999999999997</v>
      </c>
      <c r="F167" s="11">
        <f>G83*G84*1.2</f>
        <v>10.799999999999999</v>
      </c>
      <c r="G167" s="9">
        <f>G83*G84*H100</f>
        <v>41.849999999999994</v>
      </c>
      <c r="H167" s="9"/>
      <c r="I167" s="9"/>
    </row>
    <row r="168" spans="1:9" x14ac:dyDescent="0.25">
      <c r="A168" s="9"/>
      <c r="B168" s="9"/>
      <c r="C168" s="9"/>
      <c r="D168" s="9"/>
      <c r="E168" s="9"/>
      <c r="F168" s="9"/>
      <c r="G168" s="9"/>
      <c r="H168" s="9"/>
      <c r="I168" s="9"/>
    </row>
    <row r="169" spans="1:9" x14ac:dyDescent="0.25">
      <c r="A169" s="9"/>
      <c r="B169" s="9" t="s">
        <v>34</v>
      </c>
      <c r="C169" s="9" t="s">
        <v>35</v>
      </c>
      <c r="D169" s="9"/>
      <c r="E169" s="9"/>
      <c r="F169" s="9"/>
      <c r="G169" s="9"/>
      <c r="H169" s="9"/>
      <c r="I169" s="9"/>
    </row>
    <row r="170" spans="1:9" x14ac:dyDescent="0.25">
      <c r="A170" s="9"/>
      <c r="B170" s="9"/>
      <c r="C170" s="9"/>
      <c r="D170" s="9"/>
      <c r="E170" s="9"/>
      <c r="F170" s="9"/>
      <c r="G170" s="9"/>
      <c r="H170" s="9"/>
      <c r="I170" s="9"/>
    </row>
    <row r="171" spans="1:9" x14ac:dyDescent="0.25">
      <c r="A171" s="9"/>
      <c r="B171" s="9"/>
      <c r="C171" s="9"/>
      <c r="D171" s="9"/>
      <c r="E171" s="9"/>
      <c r="F171" s="9"/>
      <c r="G171" s="9"/>
      <c r="H171" s="9"/>
      <c r="I171" s="9"/>
    </row>
    <row r="172" spans="1:9" x14ac:dyDescent="0.25">
      <c r="A172" s="9"/>
      <c r="B172" s="9"/>
      <c r="C172" s="9"/>
      <c r="D172" s="9"/>
      <c r="E172" s="9"/>
      <c r="F172" s="9"/>
      <c r="G172" s="9"/>
      <c r="H172" s="9"/>
      <c r="I172" s="9"/>
    </row>
    <row r="173" spans="1:9" x14ac:dyDescent="0.25">
      <c r="A173" s="9"/>
      <c r="B173" s="9"/>
      <c r="C173" s="9"/>
      <c r="D173" s="9"/>
      <c r="E173" s="9"/>
      <c r="F173" s="9"/>
      <c r="G173" s="9"/>
      <c r="H173" s="9"/>
      <c r="I173" s="9"/>
    </row>
    <row r="174" spans="1:9" x14ac:dyDescent="0.25">
      <c r="A174" s="9"/>
      <c r="B174" s="9"/>
      <c r="C174" s="9"/>
      <c r="D174" s="9"/>
      <c r="E174" s="9"/>
      <c r="F174" s="21">
        <f>G144</f>
        <v>79.765849989254235</v>
      </c>
      <c r="G174" s="9"/>
      <c r="H174" s="9"/>
      <c r="I174" s="9"/>
    </row>
    <row r="175" spans="1:9" x14ac:dyDescent="0.25">
      <c r="A175" s="9"/>
      <c r="B175" s="9"/>
      <c r="C175" s="9"/>
      <c r="D175" s="9"/>
      <c r="E175" s="9"/>
      <c r="F175" s="9"/>
      <c r="G175" s="9"/>
      <c r="H175" s="9"/>
      <c r="I175" s="9"/>
    </row>
    <row r="176" spans="1:9" x14ac:dyDescent="0.25">
      <c r="A176" s="9"/>
      <c r="B176" s="9"/>
      <c r="C176" s="9"/>
      <c r="D176" s="9"/>
      <c r="E176" s="9"/>
      <c r="F176" s="9"/>
      <c r="G176" s="9"/>
      <c r="H176" s="9"/>
      <c r="I176" s="9"/>
    </row>
    <row r="177" spans="1:9" x14ac:dyDescent="0.25">
      <c r="A177" s="9"/>
      <c r="B177" s="9"/>
      <c r="C177" s="9"/>
      <c r="D177" s="9"/>
      <c r="E177" s="9"/>
      <c r="F177" s="9"/>
      <c r="G177" s="9"/>
      <c r="H177" s="9"/>
      <c r="I177" s="9"/>
    </row>
    <row r="178" spans="1:9" x14ac:dyDescent="0.25">
      <c r="A178" s="9"/>
      <c r="B178" s="9"/>
      <c r="C178" s="9"/>
      <c r="D178" s="9"/>
      <c r="E178" s="9"/>
      <c r="F178" s="9"/>
      <c r="G178" s="9"/>
      <c r="H178" s="9"/>
      <c r="I178" s="9"/>
    </row>
    <row r="179" spans="1:9" x14ac:dyDescent="0.25">
      <c r="A179" s="9"/>
      <c r="B179" s="9"/>
      <c r="C179" s="9"/>
      <c r="D179" s="9"/>
      <c r="E179" s="9"/>
      <c r="F179" s="9"/>
      <c r="G179" s="9"/>
      <c r="H179" s="9"/>
      <c r="I179" s="9"/>
    </row>
    <row r="180" spans="1:9" x14ac:dyDescent="0.25">
      <c r="A180" s="9"/>
      <c r="B180" s="9"/>
      <c r="C180" s="9"/>
      <c r="D180" s="9"/>
      <c r="E180" s="9"/>
      <c r="F180" s="9"/>
      <c r="G180" s="9"/>
      <c r="H180" s="9"/>
      <c r="I180" s="9"/>
    </row>
    <row r="181" spans="1:9" x14ac:dyDescent="0.25">
      <c r="A181" s="9"/>
      <c r="B181" s="9"/>
      <c r="C181" s="9"/>
      <c r="D181" s="9"/>
      <c r="E181" s="9"/>
      <c r="F181" s="9"/>
      <c r="G181" s="9"/>
      <c r="H181" s="9"/>
      <c r="I181" s="9"/>
    </row>
    <row r="182" spans="1:9" x14ac:dyDescent="0.25">
      <c r="A182" s="9"/>
      <c r="B182" s="9"/>
      <c r="C182" s="9"/>
      <c r="D182" s="9"/>
      <c r="E182" s="9"/>
      <c r="F182" s="9"/>
      <c r="G182" s="9"/>
      <c r="H182" s="9"/>
      <c r="I182" s="9"/>
    </row>
    <row r="183" spans="1:9" x14ac:dyDescent="0.25">
      <c r="A183" s="9"/>
      <c r="B183" s="9"/>
      <c r="C183" s="9"/>
      <c r="D183" s="9"/>
      <c r="E183" s="9"/>
      <c r="F183" s="9"/>
      <c r="G183" s="9"/>
      <c r="H183" s="9"/>
      <c r="I183" s="9"/>
    </row>
    <row r="184" spans="1:9" x14ac:dyDescent="0.25">
      <c r="A184" s="9"/>
      <c r="B184" s="10">
        <f>G167</f>
        <v>41.849999999999994</v>
      </c>
      <c r="C184" s="10">
        <f>E167</f>
        <v>2.6999999999999997</v>
      </c>
      <c r="D184" s="10">
        <f>F167</f>
        <v>10.799999999999999</v>
      </c>
      <c r="E184" s="9"/>
      <c r="F184" s="9"/>
      <c r="G184" s="10">
        <f>D184</f>
        <v>10.799999999999999</v>
      </c>
      <c r="H184" s="10">
        <f>C184</f>
        <v>2.6999999999999997</v>
      </c>
      <c r="I184" s="25">
        <f>B184</f>
        <v>41.849999999999994</v>
      </c>
    </row>
    <row r="185" spans="1:9" x14ac:dyDescent="0.25">
      <c r="A185" s="9"/>
      <c r="B185" s="9"/>
      <c r="C185" s="9"/>
      <c r="D185" s="9"/>
      <c r="E185" s="26">
        <f>G145</f>
        <v>84.012679991403388</v>
      </c>
      <c r="F185" s="9"/>
      <c r="G185" s="9"/>
      <c r="H185" s="9"/>
      <c r="I185" s="9"/>
    </row>
    <row r="186" spans="1:9" x14ac:dyDescent="0.25">
      <c r="A186" s="9"/>
      <c r="B186" s="9"/>
      <c r="C186" s="9"/>
      <c r="D186" s="9"/>
      <c r="E186" s="9"/>
      <c r="F186" s="21"/>
      <c r="G186" s="9"/>
      <c r="H186" s="9"/>
      <c r="I186" s="9"/>
    </row>
    <row r="187" spans="1:9" x14ac:dyDescent="0.25">
      <c r="A187" s="9"/>
      <c r="B187" s="9"/>
      <c r="C187" s="9"/>
      <c r="D187" s="9"/>
      <c r="E187" s="9"/>
      <c r="F187" s="21"/>
      <c r="G187" s="9"/>
      <c r="H187" s="9"/>
      <c r="I187" s="9"/>
    </row>
    <row r="188" spans="1:9" x14ac:dyDescent="0.25">
      <c r="A188" s="9"/>
      <c r="B188" s="9" t="s">
        <v>36</v>
      </c>
      <c r="C188" s="9"/>
      <c r="D188" s="9"/>
      <c r="E188" s="9"/>
      <c r="F188" s="9"/>
      <c r="G188" s="9"/>
      <c r="H188" s="9"/>
      <c r="I188" s="9"/>
    </row>
    <row r="189" spans="1:9" x14ac:dyDescent="0.25">
      <c r="A189" s="9"/>
      <c r="B189" s="9" t="s">
        <v>37</v>
      </c>
      <c r="C189" s="9" t="s">
        <v>16</v>
      </c>
      <c r="D189" s="27">
        <f>(D184+C184)*C161*C161/12+B184*C161*C161/20</f>
        <v>69.57039374999998</v>
      </c>
      <c r="E189" s="9" t="s">
        <v>58</v>
      </c>
      <c r="F189" s="9" t="s">
        <v>41</v>
      </c>
      <c r="G189" s="9" t="s">
        <v>16</v>
      </c>
      <c r="H189" s="27">
        <f>(G184+H184)*C161*C161/12+I184*C161*C161/30</f>
        <v>54.48869999999998</v>
      </c>
      <c r="I189" s="9" t="s">
        <v>58</v>
      </c>
    </row>
    <row r="190" spans="1:9" x14ac:dyDescent="0.25">
      <c r="A190" s="9"/>
      <c r="B190" s="9" t="s">
        <v>38</v>
      </c>
      <c r="C190" s="9" t="s">
        <v>16</v>
      </c>
      <c r="D190" s="27">
        <f>-((D184+C184)*C161*C161/12+B184*C161*C161/30)</f>
        <v>-54.48869999999998</v>
      </c>
      <c r="E190" s="9" t="s">
        <v>58</v>
      </c>
      <c r="F190" s="9" t="s">
        <v>42</v>
      </c>
      <c r="G190" s="9" t="s">
        <v>16</v>
      </c>
      <c r="H190" s="27">
        <f>-((G184+H184)*C161*C161/12+I184*C161*C161/20)</f>
        <v>-69.57039374999998</v>
      </c>
      <c r="I190" s="9" t="s">
        <v>58</v>
      </c>
    </row>
    <row r="191" spans="1:9" x14ac:dyDescent="0.25">
      <c r="A191" s="9"/>
      <c r="B191" s="9" t="s">
        <v>39</v>
      </c>
      <c r="C191" s="9" t="s">
        <v>16</v>
      </c>
      <c r="D191" s="27">
        <f>F174*H98*H98/12</f>
        <v>289.55003546099289</v>
      </c>
      <c r="E191" s="9" t="s">
        <v>58</v>
      </c>
      <c r="F191" s="9" t="s">
        <v>43</v>
      </c>
      <c r="G191" s="9" t="s">
        <v>16</v>
      </c>
      <c r="H191" s="27">
        <f>(E185*H98*H98/12)</f>
        <v>304.9660283687943</v>
      </c>
      <c r="I191" s="9" t="s">
        <v>58</v>
      </c>
    </row>
    <row r="192" spans="1:9" x14ac:dyDescent="0.25">
      <c r="A192" s="9"/>
      <c r="B192" s="9" t="s">
        <v>40</v>
      </c>
      <c r="C192" s="9" t="s">
        <v>16</v>
      </c>
      <c r="D192" s="27">
        <f>-(F174*H98*H98/12)</f>
        <v>-289.55003546099289</v>
      </c>
      <c r="E192" s="9" t="s">
        <v>58</v>
      </c>
      <c r="F192" s="9" t="s">
        <v>44</v>
      </c>
      <c r="G192" s="9" t="s">
        <v>16</v>
      </c>
      <c r="H192" s="27">
        <f>-(E185*H98*H98/12)</f>
        <v>-304.9660283687943</v>
      </c>
      <c r="I192" s="9" t="s">
        <v>58</v>
      </c>
    </row>
    <row r="193" spans="1:9" x14ac:dyDescent="0.25">
      <c r="A193" s="9"/>
      <c r="B193" s="9"/>
      <c r="C193" s="9"/>
      <c r="D193" s="9"/>
      <c r="E193" s="27"/>
      <c r="F193" s="9"/>
      <c r="G193" s="9"/>
      <c r="H193" s="9"/>
      <c r="I193" s="27"/>
    </row>
    <row r="194" spans="1:9" x14ac:dyDescent="0.25">
      <c r="A194" s="9"/>
      <c r="B194" s="9" t="s">
        <v>45</v>
      </c>
      <c r="C194" s="9"/>
      <c r="D194" s="9"/>
      <c r="E194" s="9"/>
      <c r="F194" s="9"/>
      <c r="G194" s="9"/>
      <c r="H194" s="9"/>
      <c r="I194" s="9"/>
    </row>
    <row r="195" spans="1:9" x14ac:dyDescent="0.25">
      <c r="A195" s="9"/>
      <c r="B195" s="9"/>
      <c r="C195" s="9"/>
      <c r="D195" s="9"/>
      <c r="E195" s="9" t="s">
        <v>47</v>
      </c>
      <c r="F195" s="9"/>
      <c r="G195" s="9"/>
      <c r="H195" s="9"/>
      <c r="I195" s="9"/>
    </row>
    <row r="196" spans="1:9" x14ac:dyDescent="0.25">
      <c r="A196" s="9"/>
      <c r="B196" s="9"/>
      <c r="C196" s="9"/>
      <c r="D196" s="9"/>
      <c r="E196" s="9">
        <f>F174*H98*H98/8</f>
        <v>434.3250531914893</v>
      </c>
      <c r="F196" s="9" t="s">
        <v>58</v>
      </c>
      <c r="G196" s="9"/>
      <c r="H196" s="9"/>
      <c r="I196" s="9"/>
    </row>
    <row r="197" spans="1:9" ht="15.75" thickBot="1" x14ac:dyDescent="0.3">
      <c r="A197" s="9"/>
      <c r="B197" s="9"/>
      <c r="C197" s="9"/>
      <c r="D197" s="9"/>
      <c r="E197" s="9"/>
      <c r="F197" s="9"/>
      <c r="G197" s="9"/>
      <c r="H197" s="9"/>
      <c r="I197" s="9"/>
    </row>
    <row r="198" spans="1:9" x14ac:dyDescent="0.25">
      <c r="A198" s="9"/>
      <c r="B198" s="28">
        <f>(((G77^3)/12)/H100)/(((G77^3)/12)/H100+((G75^3)/12)/H98)</f>
        <v>0.58666666666666667</v>
      </c>
      <c r="C198" s="29">
        <f>(((G75^3)/12)/H98)/(((G77^3)/12)/H100+((G75^3)/12)/H98)</f>
        <v>0.41333333333333333</v>
      </c>
      <c r="D198" s="9"/>
      <c r="E198" s="9"/>
      <c r="F198" s="9"/>
      <c r="G198" s="9"/>
      <c r="H198" s="30">
        <f>(((G75^3)/12)/H98)/(((G77^3)/12)/H100+((G75^3)/12)/H98)</f>
        <v>0.41333333333333333</v>
      </c>
      <c r="I198" s="31">
        <f>(((G77^3)/12)/H100)/(((G77^3)/12)/H100+((G75^3)/12)/H98)</f>
        <v>0.58666666666666667</v>
      </c>
    </row>
    <row r="199" spans="1:9" x14ac:dyDescent="0.25">
      <c r="A199" s="9"/>
      <c r="B199" s="32">
        <f>D190</f>
        <v>-54.48869999999998</v>
      </c>
      <c r="C199" s="33">
        <f>D191</f>
        <v>289.55003546099289</v>
      </c>
      <c r="D199" s="9"/>
      <c r="E199" s="9"/>
      <c r="F199" s="9"/>
      <c r="G199" s="9"/>
      <c r="H199" s="34">
        <f>D192</f>
        <v>-289.55003546099289</v>
      </c>
      <c r="I199" s="35">
        <f>H189</f>
        <v>54.48869999999998</v>
      </c>
    </row>
    <row r="200" spans="1:9" x14ac:dyDescent="0.25">
      <c r="A200" s="9"/>
      <c r="B200" s="36">
        <f>-(C199+B199)*B198</f>
        <v>-137.90265013711584</v>
      </c>
      <c r="C200" s="37">
        <f>-(C199+B199)*C198</f>
        <v>-97.158685323877066</v>
      </c>
      <c r="D200" s="9"/>
      <c r="E200" s="9"/>
      <c r="F200" s="9"/>
      <c r="G200" s="9"/>
      <c r="H200" s="38">
        <f>-(H199+I199)*H198</f>
        <v>97.158685323877066</v>
      </c>
      <c r="I200" s="39">
        <f>-(H199+I199)*I198</f>
        <v>137.90265013711584</v>
      </c>
    </row>
    <row r="201" spans="1:9" x14ac:dyDescent="0.25">
      <c r="A201" s="9"/>
      <c r="B201" s="36">
        <f>B219/2</f>
        <v>55.549488787232988</v>
      </c>
      <c r="C201" s="37">
        <f>H200/2</f>
        <v>48.579342661938533</v>
      </c>
      <c r="D201" s="9"/>
      <c r="E201" s="9"/>
      <c r="F201" s="9"/>
      <c r="G201" s="9"/>
      <c r="H201" s="38">
        <f>C200/2</f>
        <v>-48.579342661938533</v>
      </c>
      <c r="I201" s="39">
        <f>I219/2</f>
        <v>-55.549488787232988</v>
      </c>
    </row>
    <row r="202" spans="1:9" ht="15" customHeight="1" x14ac:dyDescent="0.25">
      <c r="A202" s="9"/>
      <c r="B202" s="36">
        <f>-(B201+C201)*B198</f>
        <v>-61.088914450180624</v>
      </c>
      <c r="C202" s="37">
        <f>-(C201+B201)*C198</f>
        <v>-43.03991699899089</v>
      </c>
      <c r="D202" s="165">
        <f>(D184+C184)*H100*H100/8+(B184*H100*H100/16)</f>
        <v>93.044320312499963</v>
      </c>
      <c r="E202" s="9"/>
      <c r="F202" s="9"/>
      <c r="G202" s="166">
        <f>(G184+H184)*H100*H100/8+(B184*H100*H100/16)</f>
        <v>93.044320312499963</v>
      </c>
      <c r="H202" s="38">
        <f>-(H201+I201)*H198</f>
        <v>43.03991699899089</v>
      </c>
      <c r="I202" s="39">
        <f>-(I201+H201)*I198</f>
        <v>61.088914450180624</v>
      </c>
    </row>
    <row r="203" spans="1:9" x14ac:dyDescent="0.25">
      <c r="A203" s="9"/>
      <c r="B203" s="36">
        <f>B221/2</f>
        <v>30.937356799081858</v>
      </c>
      <c r="C203" s="37">
        <f>H202/2</f>
        <v>21.519958499495445</v>
      </c>
      <c r="D203" s="165"/>
      <c r="E203" s="9"/>
      <c r="F203" s="9"/>
      <c r="G203" s="166"/>
      <c r="H203" s="38">
        <f>C202/2</f>
        <v>-21.519958499495445</v>
      </c>
      <c r="I203" s="39">
        <f>I221/2</f>
        <v>-30.937356799081858</v>
      </c>
    </row>
    <row r="204" spans="1:9" x14ac:dyDescent="0.25">
      <c r="A204" s="9"/>
      <c r="B204" s="36">
        <f>-(B203+C203)*B198</f>
        <v>-30.774958308498682</v>
      </c>
      <c r="C204" s="37">
        <f>-(B203+C203)*C198</f>
        <v>-21.682356990078617</v>
      </c>
      <c r="D204" s="165"/>
      <c r="E204" s="9"/>
      <c r="F204" s="9"/>
      <c r="G204" s="166"/>
      <c r="H204" s="38">
        <f>-(H203+I203)*H198</f>
        <v>21.682356990078617</v>
      </c>
      <c r="I204" s="39">
        <f>-(H203+I203)*I198</f>
        <v>30.774958308498682</v>
      </c>
    </row>
    <row r="205" spans="1:9" x14ac:dyDescent="0.25">
      <c r="A205" s="9"/>
      <c r="B205" s="36">
        <f>B223/2</f>
        <v>15.375960577839196</v>
      </c>
      <c r="C205" s="37">
        <f>H204/2</f>
        <v>10.841178495039308</v>
      </c>
      <c r="D205" s="165"/>
      <c r="E205" s="9"/>
      <c r="F205" s="9"/>
      <c r="G205" s="166"/>
      <c r="H205" s="38">
        <f>C204/2</f>
        <v>-10.841178495039308</v>
      </c>
      <c r="I205" s="39">
        <f>I223/2</f>
        <v>-15.375960577839196</v>
      </c>
    </row>
    <row r="206" spans="1:9" x14ac:dyDescent="0.25">
      <c r="A206" s="9"/>
      <c r="B206" s="36">
        <f>-(B205+C205)*B198</f>
        <v>-15.380721589422055</v>
      </c>
      <c r="C206" s="37">
        <f>-(B205+C205)*C198</f>
        <v>-10.836417483456447</v>
      </c>
      <c r="D206" s="165"/>
      <c r="E206" s="9"/>
      <c r="F206" s="9"/>
      <c r="G206" s="166"/>
      <c r="H206" s="38">
        <f>-(H205+I205)*H198</f>
        <v>10.836417483456447</v>
      </c>
      <c r="I206" s="39">
        <f>-(H205+I205)*I198</f>
        <v>15.380721589422055</v>
      </c>
    </row>
    <row r="207" spans="1:9" x14ac:dyDescent="0.25">
      <c r="A207" s="9"/>
      <c r="B207" s="36">
        <f>B225/2</f>
        <v>7.6906984830448906</v>
      </c>
      <c r="C207" s="37">
        <f>H206/2</f>
        <v>5.4182087417282236</v>
      </c>
      <c r="D207" s="165"/>
      <c r="E207" s="9"/>
      <c r="F207" s="9"/>
      <c r="G207" s="166"/>
      <c r="H207" s="38">
        <f>C206/2</f>
        <v>-5.4182087417282236</v>
      </c>
      <c r="I207" s="39">
        <f>I225/2</f>
        <v>-7.6906984830448906</v>
      </c>
    </row>
    <row r="208" spans="1:9" x14ac:dyDescent="0.25">
      <c r="A208" s="9"/>
      <c r="B208" s="36">
        <f>-(B207+C207)*B198</f>
        <v>-7.690558905200227</v>
      </c>
      <c r="C208" s="37">
        <f>-(C207+B207)*C198</f>
        <v>-5.4183483195728872</v>
      </c>
      <c r="D208" s="165"/>
      <c r="E208" s="9"/>
      <c r="F208" s="9"/>
      <c r="G208" s="166"/>
      <c r="H208" s="38">
        <f>-(H207+I207)*H198</f>
        <v>5.4183483195728872</v>
      </c>
      <c r="I208" s="39">
        <f>-(H207+I207)*I198</f>
        <v>7.690558905200227</v>
      </c>
    </row>
    <row r="209" spans="1:9" x14ac:dyDescent="0.25">
      <c r="A209" s="9"/>
      <c r="B209" s="36">
        <f>B227/2</f>
        <v>3.8452695526431433</v>
      </c>
      <c r="C209" s="37">
        <f>H208/2</f>
        <v>2.7091741597864436</v>
      </c>
      <c r="D209" s="165"/>
      <c r="E209" s="9"/>
      <c r="F209" s="9"/>
      <c r="G209" s="166"/>
      <c r="H209" s="38">
        <f>C208/2</f>
        <v>-2.7091741597864436</v>
      </c>
      <c r="I209" s="39">
        <f>I227/2</f>
        <v>-3.8452695526431433</v>
      </c>
    </row>
    <row r="210" spans="1:9" x14ac:dyDescent="0.25">
      <c r="A210" s="9"/>
      <c r="B210" s="36">
        <f>-(B209+C209)*B198</f>
        <v>-3.8452736446253573</v>
      </c>
      <c r="C210" s="37">
        <f>-(C209+B209)*C198</f>
        <v>-2.7091700678042292</v>
      </c>
      <c r="D210" s="165"/>
      <c r="E210" s="9"/>
      <c r="F210" s="9"/>
      <c r="G210" s="166"/>
      <c r="H210" s="38">
        <f>-(H209+I209)*H198</f>
        <v>2.7091700678042292</v>
      </c>
      <c r="I210" s="39">
        <f>-(I209+H209)*I198</f>
        <v>3.8452736446253573</v>
      </c>
    </row>
    <row r="211" spans="1:9" x14ac:dyDescent="0.25">
      <c r="A211" s="9"/>
      <c r="B211" s="36">
        <f>B229/2</f>
        <v>1.9226371125481956</v>
      </c>
      <c r="C211" s="37">
        <f>H210/2</f>
        <v>1.3545850339021146</v>
      </c>
      <c r="D211" s="9"/>
      <c r="E211" s="9"/>
      <c r="F211" s="9"/>
      <c r="G211" s="9"/>
      <c r="H211" s="38">
        <f>C210/2</f>
        <v>-1.3545850339021146</v>
      </c>
      <c r="I211" s="39">
        <f>I229/2</f>
        <v>-1.9226371125481956</v>
      </c>
    </row>
    <row r="212" spans="1:9" ht="15.75" thickBot="1" x14ac:dyDescent="0.3">
      <c r="A212" s="9"/>
      <c r="B212" s="15">
        <f>-(B211+C211)*B198</f>
        <v>-1.922636992584182</v>
      </c>
      <c r="C212" s="40">
        <f>-(B211+C211)*C198</f>
        <v>-1.3545851538661282</v>
      </c>
      <c r="D212" s="9"/>
      <c r="E212" s="9"/>
      <c r="F212" s="9"/>
      <c r="G212" s="9"/>
      <c r="H212" s="41">
        <f>-(H211+I211)*H198</f>
        <v>1.3545851538661282</v>
      </c>
      <c r="I212" s="13">
        <f>-(H211+I211)*I198</f>
        <v>1.922636992584182</v>
      </c>
    </row>
    <row r="213" spans="1:9" ht="15.75" thickBot="1" x14ac:dyDescent="0.3">
      <c r="A213" s="9"/>
      <c r="B213" s="42">
        <f>SUM(B199:B212)</f>
        <v>-197.77300271523669</v>
      </c>
      <c r="C213" s="43">
        <f>SUM(C199:C212)</f>
        <v>197.77300271523669</v>
      </c>
      <c r="D213" s="9"/>
      <c r="E213" s="9"/>
      <c r="F213" s="9"/>
      <c r="G213" s="9"/>
      <c r="H213" s="44">
        <f>SUM(H199:H212)</f>
        <v>-197.77300271523669</v>
      </c>
      <c r="I213" s="45">
        <f>SUM(I199:I212)</f>
        <v>197.77300271523669</v>
      </c>
    </row>
    <row r="214" spans="1:9" x14ac:dyDescent="0.25">
      <c r="A214" s="9"/>
      <c r="B214" s="9"/>
      <c r="C214" s="9"/>
      <c r="D214" s="9"/>
      <c r="E214" s="9"/>
      <c r="F214" s="9"/>
      <c r="G214" s="9"/>
      <c r="H214" s="9"/>
      <c r="I214" s="9"/>
    </row>
    <row r="215" spans="1:9" x14ac:dyDescent="0.25">
      <c r="A215" s="9"/>
      <c r="B215" s="9"/>
      <c r="C215" s="9"/>
      <c r="D215" s="9"/>
      <c r="E215" s="9"/>
      <c r="F215" s="9"/>
      <c r="G215" s="9"/>
      <c r="H215" s="9"/>
      <c r="I215" s="9"/>
    </row>
    <row r="216" spans="1:9" ht="15.75" thickBot="1" x14ac:dyDescent="0.3">
      <c r="A216" s="9"/>
      <c r="B216" s="9"/>
      <c r="C216" s="9"/>
      <c r="D216" s="9"/>
      <c r="E216" s="9"/>
      <c r="F216" s="9"/>
      <c r="G216" s="9"/>
      <c r="H216" s="9"/>
      <c r="I216" s="9"/>
    </row>
    <row r="217" spans="1:9" x14ac:dyDescent="0.25">
      <c r="A217" s="9"/>
      <c r="B217" s="28">
        <f>(((G77^3)/12)/H100)/(((G77^3)/12)/H100+((G76^3)/12)/H98)</f>
        <v>0.47196702587277156</v>
      </c>
      <c r="C217" s="29">
        <f>(((G76^3)/12)/H98)/(((G77^3)/12)/H100+((G76^3)/12)/H98)</f>
        <v>0.52803297412722849</v>
      </c>
      <c r="D217" s="9"/>
      <c r="E217" s="9"/>
      <c r="F217" s="9"/>
      <c r="G217" s="9"/>
      <c r="H217" s="30">
        <f>(((G76^3)/12)/H98)/(((G77^3)/12)/H100+((G76^3)/12)/H98)</f>
        <v>0.52803297412722849</v>
      </c>
      <c r="I217" s="31">
        <f>(((G77^3)/12)/H100)/(((G77^3)/12)/H100+((G76^3)/12)/H98)</f>
        <v>0.47196702587277156</v>
      </c>
    </row>
    <row r="218" spans="1:9" x14ac:dyDescent="0.25">
      <c r="A218" s="9"/>
      <c r="B218" s="32">
        <f>D189</f>
        <v>69.57039374999998</v>
      </c>
      <c r="C218" s="33">
        <f>H192</f>
        <v>-304.9660283687943</v>
      </c>
      <c r="D218" s="9"/>
      <c r="E218" s="10" t="s">
        <v>46</v>
      </c>
      <c r="F218" s="9"/>
      <c r="G218" s="9"/>
      <c r="H218" s="34">
        <f>H191</f>
        <v>304.9660283687943</v>
      </c>
      <c r="I218" s="35">
        <f>H190</f>
        <v>-69.57039374999998</v>
      </c>
    </row>
    <row r="219" spans="1:9" x14ac:dyDescent="0.25">
      <c r="A219" s="9"/>
      <c r="B219" s="36">
        <f>-(B218+C218)*B217</f>
        <v>111.09897757446598</v>
      </c>
      <c r="C219" s="46">
        <f>-(C218+B218)*C217</f>
        <v>124.29665704432834</v>
      </c>
      <c r="D219" s="9"/>
      <c r="E219" s="9">
        <f>E185*H98*H98/8</f>
        <v>457.44904255319142</v>
      </c>
      <c r="F219" s="9" t="s">
        <v>58</v>
      </c>
      <c r="G219" s="9"/>
      <c r="H219" s="38">
        <f>-(H218+I218)*H217</f>
        <v>-124.29665704432834</v>
      </c>
      <c r="I219" s="39">
        <f>-(I218+H218)*I217</f>
        <v>-111.09897757446598</v>
      </c>
    </row>
    <row r="220" spans="1:9" x14ac:dyDescent="0.25">
      <c r="A220" s="9"/>
      <c r="B220" s="36">
        <f>B200/2</f>
        <v>-68.951325068557921</v>
      </c>
      <c r="C220" s="37">
        <f>H219/2</f>
        <v>-62.148328522164171</v>
      </c>
      <c r="D220" s="9"/>
      <c r="E220" s="9"/>
      <c r="F220" s="9"/>
      <c r="G220" s="9"/>
      <c r="H220" s="38">
        <f>C219/2</f>
        <v>62.148328522164171</v>
      </c>
      <c r="I220" s="39">
        <f>I200/2</f>
        <v>68.951325068557921</v>
      </c>
    </row>
    <row r="221" spans="1:9" x14ac:dyDescent="0.25">
      <c r="A221" s="9"/>
      <c r="B221" s="36">
        <f>-(B220+C220)*B217</f>
        <v>61.874713598163716</v>
      </c>
      <c r="C221" s="37">
        <f>-(B220+C220)*C217</f>
        <v>69.224939992558376</v>
      </c>
      <c r="D221" s="9"/>
      <c r="E221" s="9"/>
      <c r="F221" s="9"/>
      <c r="G221" s="9"/>
      <c r="H221" s="38">
        <f>-(H220+I220)*H217</f>
        <v>-69.224939992558376</v>
      </c>
      <c r="I221" s="39">
        <f>-(I220+H220)*I217</f>
        <v>-61.874713598163716</v>
      </c>
    </row>
    <row r="222" spans="1:9" x14ac:dyDescent="0.25">
      <c r="A222" s="9"/>
      <c r="B222" s="36">
        <f>B202/2</f>
        <v>-30.544457225090312</v>
      </c>
      <c r="C222" s="37">
        <f>H221/2</f>
        <v>-34.612469996279188</v>
      </c>
      <c r="D222" s="9"/>
      <c r="E222" s="9"/>
      <c r="F222" s="9"/>
      <c r="G222" s="9"/>
      <c r="H222" s="38">
        <f>C221/2</f>
        <v>34.612469996279188</v>
      </c>
      <c r="I222" s="39">
        <f>I202/2</f>
        <v>30.544457225090312</v>
      </c>
    </row>
    <row r="223" spans="1:9" x14ac:dyDescent="0.25">
      <c r="A223" s="9"/>
      <c r="B223" s="36">
        <f>-(B222+C222)*B217</f>
        <v>30.751921155678392</v>
      </c>
      <c r="C223" s="37">
        <f>-(B222+C222)*C217</f>
        <v>34.405006065691111</v>
      </c>
      <c r="D223" s="9"/>
      <c r="E223" s="9"/>
      <c r="F223" s="9"/>
      <c r="G223" s="9"/>
      <c r="H223" s="38">
        <f>-(H222+I222)*H217</f>
        <v>-34.405006065691111</v>
      </c>
      <c r="I223" s="39">
        <f>-(H222+I222)*I217</f>
        <v>-30.751921155678392</v>
      </c>
    </row>
    <row r="224" spans="1:9" x14ac:dyDescent="0.25">
      <c r="A224" s="9"/>
      <c r="B224" s="36">
        <f>B204/2</f>
        <v>-15.387479154249341</v>
      </c>
      <c r="C224" s="37">
        <f>H223/2</f>
        <v>-17.202503032845556</v>
      </c>
      <c r="D224" s="9"/>
      <c r="E224" s="9"/>
      <c r="F224" s="9"/>
      <c r="G224" s="9"/>
      <c r="H224" s="38">
        <f>C223/2</f>
        <v>17.202503032845556</v>
      </c>
      <c r="I224" s="39">
        <f>I204/2</f>
        <v>15.387479154249341</v>
      </c>
    </row>
    <row r="225" spans="1:9" x14ac:dyDescent="0.25">
      <c r="A225" s="9"/>
      <c r="B225" s="36">
        <f>-(B224+C224)*B217</f>
        <v>15.381396966089781</v>
      </c>
      <c r="C225" s="37">
        <f>-(C224+B224)*C217</f>
        <v>17.208585221005116</v>
      </c>
      <c r="D225" s="9"/>
      <c r="E225" s="9"/>
      <c r="F225" s="9"/>
      <c r="G225" s="9"/>
      <c r="H225" s="38">
        <f>-(H224+I224)*H217</f>
        <v>-17.208585221005116</v>
      </c>
      <c r="I225" s="39">
        <f>-(H224+I224)*I217</f>
        <v>-15.381396966089781</v>
      </c>
    </row>
    <row r="226" spans="1:9" x14ac:dyDescent="0.25">
      <c r="A226" s="9"/>
      <c r="B226" s="36">
        <f>B206/2</f>
        <v>-7.6903607947110277</v>
      </c>
      <c r="C226" s="37">
        <f>H225/2</f>
        <v>-8.6042926105025579</v>
      </c>
      <c r="D226" s="9"/>
      <c r="E226" s="9"/>
      <c r="F226" s="9"/>
      <c r="G226" s="9"/>
      <c r="H226" s="38">
        <f>C225/2</f>
        <v>8.6042926105025579</v>
      </c>
      <c r="I226" s="39">
        <f>I206/2</f>
        <v>7.6903607947110277</v>
      </c>
    </row>
    <row r="227" spans="1:9" x14ac:dyDescent="0.25">
      <c r="A227" s="9"/>
      <c r="B227" s="36">
        <f>-(B226+C226)*B217</f>
        <v>7.6905391052862866</v>
      </c>
      <c r="C227" s="37">
        <f>-(C226+B226)*C217</f>
        <v>8.6041142999273017</v>
      </c>
      <c r="D227" s="9"/>
      <c r="E227" s="9"/>
      <c r="F227" s="9"/>
      <c r="G227" s="9"/>
      <c r="H227" s="38">
        <f>-(H226+I226)*H217</f>
        <v>-8.6041142999273017</v>
      </c>
      <c r="I227" s="39">
        <f>-(H226+I226)*I217</f>
        <v>-7.6905391052862866</v>
      </c>
    </row>
    <row r="228" spans="1:9" x14ac:dyDescent="0.25">
      <c r="A228" s="9"/>
      <c r="B228" s="36">
        <f>B208/2</f>
        <v>-3.8452794526001135</v>
      </c>
      <c r="C228" s="37">
        <f>H227/2</f>
        <v>-4.3020571499636509</v>
      </c>
      <c r="D228" s="9"/>
      <c r="E228" s="9"/>
      <c r="F228" s="9"/>
      <c r="G228" s="9"/>
      <c r="H228" s="38">
        <f>C227/2</f>
        <v>4.3020571499636509</v>
      </c>
      <c r="I228" s="39">
        <f>I208/2</f>
        <v>3.8452794526001135</v>
      </c>
    </row>
    <row r="229" spans="1:9" x14ac:dyDescent="0.25">
      <c r="A229" s="9"/>
      <c r="B229" s="36">
        <f>-(B228+C228)*B217</f>
        <v>3.8452742250963912</v>
      </c>
      <c r="C229" s="37">
        <f>-(C228+B228)*C217</f>
        <v>4.3020623774673741</v>
      </c>
      <c r="D229" s="9"/>
      <c r="E229" s="9"/>
      <c r="F229" s="9"/>
      <c r="G229" s="9"/>
      <c r="H229" s="38">
        <f>-(H228+I228)*H217</f>
        <v>-4.3020623774673741</v>
      </c>
      <c r="I229" s="39">
        <f>-(I228+H228)*I217</f>
        <v>-3.8452742250963912</v>
      </c>
    </row>
    <row r="230" spans="1:9" x14ac:dyDescent="0.25">
      <c r="A230" s="9"/>
      <c r="B230" s="36">
        <f>B210/2</f>
        <v>-1.9226368223126786</v>
      </c>
      <c r="C230" s="37">
        <f>H229/2</f>
        <v>-2.151031188733687</v>
      </c>
      <c r="D230" s="9"/>
      <c r="E230" s="9"/>
      <c r="F230" s="9"/>
      <c r="G230" s="9"/>
      <c r="H230" s="38">
        <f>C229/2</f>
        <v>2.151031188733687</v>
      </c>
      <c r="I230" s="39">
        <f>I210/2</f>
        <v>1.9226368223126786</v>
      </c>
    </row>
    <row r="231" spans="1:9" ht="15.75" thickBot="1" x14ac:dyDescent="0.3">
      <c r="A231" s="9"/>
      <c r="B231" s="15">
        <f>-(B230+C230)*B217</f>
        <v>1.9226369755666017</v>
      </c>
      <c r="C231" s="40">
        <f>-(C230+B230)*C217</f>
        <v>2.1510310354797637</v>
      </c>
      <c r="D231" s="9"/>
      <c r="E231" s="9"/>
      <c r="F231" s="9"/>
      <c r="G231" s="9"/>
      <c r="H231" s="41">
        <f>-(H230+I230)*H217</f>
        <v>-2.1510310354797637</v>
      </c>
      <c r="I231" s="13">
        <f>-(H230+I230)*I217</f>
        <v>-1.9226369755666017</v>
      </c>
    </row>
    <row r="232" spans="1:9" ht="16.5" thickTop="1" thickBot="1" x14ac:dyDescent="0.3">
      <c r="A232" s="9"/>
      <c r="B232" s="47">
        <f>SUM(B218:B231)</f>
        <v>173.79431483282571</v>
      </c>
      <c r="C232" s="48">
        <f>SUM(C218:C231)</f>
        <v>-173.79431483282573</v>
      </c>
      <c r="D232" s="9"/>
      <c r="E232" s="9"/>
      <c r="F232" s="9"/>
      <c r="G232" s="9"/>
      <c r="H232" s="49">
        <f>SUM(H218:H231)</f>
        <v>173.79431483282573</v>
      </c>
      <c r="I232" s="50">
        <f>SUM(I218:I231)</f>
        <v>-173.79431483282571</v>
      </c>
    </row>
    <row r="233" spans="1:9" x14ac:dyDescent="0.25">
      <c r="A233" s="9"/>
      <c r="B233" s="9"/>
      <c r="C233" s="23"/>
      <c r="D233" s="51"/>
      <c r="E233" s="9"/>
      <c r="F233" s="9"/>
      <c r="G233" s="9"/>
      <c r="H233" s="9"/>
      <c r="I233" s="23"/>
    </row>
    <row r="234" spans="1:9" x14ac:dyDescent="0.25">
      <c r="A234" s="9"/>
      <c r="B234" s="9" t="s">
        <v>48</v>
      </c>
      <c r="C234" s="9" t="s">
        <v>49</v>
      </c>
      <c r="D234" s="9"/>
      <c r="E234" s="9"/>
      <c r="F234" s="9"/>
      <c r="G234" s="9"/>
      <c r="H234" s="9"/>
      <c r="I234" s="23"/>
    </row>
    <row r="235" spans="1:9" x14ac:dyDescent="0.25">
      <c r="A235" s="9"/>
      <c r="B235" s="9" t="s">
        <v>32</v>
      </c>
      <c r="C235" s="9"/>
      <c r="D235" s="9"/>
      <c r="E235" s="9"/>
      <c r="F235" s="9"/>
      <c r="G235" s="9" t="s">
        <v>16</v>
      </c>
      <c r="H235" s="19">
        <f>G72*G85</f>
        <v>40</v>
      </c>
      <c r="I235" s="9" t="s">
        <v>146</v>
      </c>
    </row>
    <row r="236" spans="1:9" x14ac:dyDescent="0.25">
      <c r="A236" s="9"/>
      <c r="B236" s="9"/>
      <c r="C236" s="9"/>
      <c r="D236" s="9"/>
      <c r="E236" s="9"/>
      <c r="F236" s="9"/>
      <c r="G236" s="9"/>
      <c r="H236" s="9"/>
      <c r="I236" s="9"/>
    </row>
    <row r="237" spans="1:9" x14ac:dyDescent="0.25">
      <c r="A237" s="9"/>
      <c r="B237" s="9"/>
      <c r="C237" s="9"/>
      <c r="D237" s="9"/>
      <c r="E237" s="9"/>
      <c r="F237" s="9"/>
      <c r="G237" s="9"/>
      <c r="H237" s="9"/>
      <c r="I237" s="9"/>
    </row>
    <row r="238" spans="1:9" x14ac:dyDescent="0.25">
      <c r="A238" s="9"/>
      <c r="B238" s="9"/>
      <c r="C238" s="9"/>
      <c r="D238" s="9"/>
      <c r="E238" s="9"/>
      <c r="F238" s="52">
        <f>G144</f>
        <v>79.765849989254235</v>
      </c>
      <c r="G238" s="9"/>
      <c r="H238" s="9"/>
      <c r="I238" s="9"/>
    </row>
    <row r="239" spans="1:9" x14ac:dyDescent="0.25">
      <c r="A239" s="9"/>
      <c r="B239" s="9"/>
      <c r="C239" s="9"/>
      <c r="D239" s="9"/>
      <c r="E239" s="9"/>
      <c r="F239" s="9"/>
      <c r="G239" s="9"/>
      <c r="H239" s="9"/>
      <c r="I239" s="9"/>
    </row>
    <row r="240" spans="1:9" x14ac:dyDescent="0.25">
      <c r="A240" s="9"/>
      <c r="B240" s="9"/>
      <c r="C240" s="9"/>
      <c r="D240" s="9"/>
      <c r="E240" s="9"/>
      <c r="F240" s="9"/>
      <c r="G240" s="9"/>
      <c r="H240" s="9"/>
      <c r="I240" s="9"/>
    </row>
    <row r="241" spans="1:9" x14ac:dyDescent="0.25">
      <c r="A241" s="9"/>
      <c r="B241" s="9"/>
      <c r="C241" s="9"/>
      <c r="D241" s="9"/>
      <c r="E241" s="9"/>
      <c r="F241" s="9"/>
      <c r="G241" s="9"/>
      <c r="H241" s="9"/>
      <c r="I241" s="9"/>
    </row>
    <row r="242" spans="1:9" x14ac:dyDescent="0.25">
      <c r="A242" s="9"/>
      <c r="B242" s="9"/>
      <c r="C242" s="9"/>
      <c r="D242" s="9"/>
      <c r="E242" s="9"/>
      <c r="F242" s="9"/>
      <c r="G242" s="9"/>
      <c r="H242" s="9"/>
      <c r="I242" s="9"/>
    </row>
    <row r="243" spans="1:9" x14ac:dyDescent="0.25">
      <c r="A243" s="9"/>
      <c r="B243" s="9"/>
      <c r="C243" s="9"/>
      <c r="D243" s="9"/>
      <c r="E243" s="9"/>
      <c r="F243" s="9"/>
      <c r="G243" s="9"/>
      <c r="H243" s="9"/>
      <c r="I243" s="9"/>
    </row>
    <row r="244" spans="1:9" x14ac:dyDescent="0.25">
      <c r="A244" s="9"/>
      <c r="B244" s="9"/>
      <c r="C244" s="9"/>
      <c r="D244" s="9"/>
      <c r="E244" s="9"/>
      <c r="F244" s="9"/>
      <c r="G244" s="9"/>
      <c r="H244" s="9"/>
      <c r="I244" s="9"/>
    </row>
    <row r="245" spans="1:9" x14ac:dyDescent="0.25">
      <c r="A245" s="9"/>
      <c r="B245" s="9"/>
      <c r="C245" s="9"/>
      <c r="D245" s="9"/>
      <c r="E245" s="9"/>
      <c r="F245" s="9"/>
      <c r="G245" s="9"/>
      <c r="H245" s="9"/>
      <c r="I245" s="9"/>
    </row>
    <row r="246" spans="1:9" x14ac:dyDescent="0.25">
      <c r="A246" s="9"/>
      <c r="B246" s="9"/>
      <c r="C246" s="9"/>
      <c r="D246" s="9"/>
      <c r="E246" s="9"/>
      <c r="F246" s="9"/>
      <c r="G246" s="9"/>
      <c r="H246" s="9"/>
      <c r="I246" s="9"/>
    </row>
    <row r="247" spans="1:9" x14ac:dyDescent="0.25">
      <c r="A247" s="9"/>
      <c r="B247" s="9"/>
      <c r="C247" s="9"/>
      <c r="D247" s="9"/>
      <c r="E247" s="9"/>
      <c r="F247" s="9"/>
      <c r="G247" s="9"/>
      <c r="H247" s="9"/>
      <c r="I247" s="9"/>
    </row>
    <row r="248" spans="1:9" x14ac:dyDescent="0.25">
      <c r="A248" s="9"/>
      <c r="B248" s="9"/>
      <c r="C248" s="9"/>
      <c r="D248" s="9"/>
      <c r="E248" s="9"/>
      <c r="F248" s="9"/>
      <c r="G248" s="9"/>
      <c r="H248" s="9"/>
      <c r="I248" s="9"/>
    </row>
    <row r="249" spans="1:9" x14ac:dyDescent="0.25">
      <c r="A249" s="9"/>
      <c r="B249" s="10">
        <f>B184</f>
        <v>41.849999999999994</v>
      </c>
      <c r="C249" s="10">
        <f>C184</f>
        <v>2.6999999999999997</v>
      </c>
      <c r="D249" s="10">
        <f>D184</f>
        <v>10.799999999999999</v>
      </c>
      <c r="E249" s="9"/>
      <c r="F249" s="9"/>
      <c r="G249" s="10">
        <f>D249</f>
        <v>10.799999999999999</v>
      </c>
      <c r="H249" s="10">
        <f>C249</f>
        <v>2.6999999999999997</v>
      </c>
      <c r="I249" s="25">
        <f>B249</f>
        <v>41.849999999999994</v>
      </c>
    </row>
    <row r="250" spans="1:9" x14ac:dyDescent="0.25">
      <c r="A250" s="9"/>
      <c r="B250" s="9"/>
      <c r="C250" s="9"/>
      <c r="D250" s="10">
        <f>H235</f>
        <v>40</v>
      </c>
      <c r="E250" s="21">
        <f>G145</f>
        <v>84.012679991403388</v>
      </c>
      <c r="F250" s="11">
        <f>D250</f>
        <v>40</v>
      </c>
      <c r="G250" s="9"/>
      <c r="H250" s="9"/>
      <c r="I250" s="9"/>
    </row>
    <row r="251" spans="1:9" x14ac:dyDescent="0.25">
      <c r="A251" s="9"/>
      <c r="B251" s="9"/>
      <c r="C251" s="9"/>
      <c r="D251" s="9"/>
      <c r="E251" s="10"/>
      <c r="F251" s="9"/>
      <c r="G251" s="11"/>
      <c r="H251" s="9"/>
      <c r="I251" s="9"/>
    </row>
    <row r="252" spans="1:9" x14ac:dyDescent="0.25">
      <c r="A252" s="9"/>
      <c r="B252" s="9"/>
      <c r="C252" s="9"/>
      <c r="D252" s="9"/>
      <c r="E252" s="10"/>
      <c r="F252" s="9"/>
      <c r="G252" s="11"/>
      <c r="H252" s="9"/>
      <c r="I252" s="9"/>
    </row>
    <row r="253" spans="1:9" x14ac:dyDescent="0.25">
      <c r="A253" s="9"/>
      <c r="B253" s="9"/>
      <c r="C253" s="9"/>
      <c r="D253" s="9"/>
      <c r="E253" s="10"/>
      <c r="F253" s="9"/>
      <c r="G253" s="11"/>
      <c r="H253" s="9"/>
      <c r="I253" s="9"/>
    </row>
    <row r="254" spans="1:9" x14ac:dyDescent="0.25">
      <c r="A254" s="9"/>
      <c r="B254" s="9"/>
      <c r="C254" s="9"/>
      <c r="D254" s="9"/>
      <c r="E254" s="10"/>
      <c r="F254" s="9"/>
      <c r="G254" s="11"/>
      <c r="H254" s="9"/>
      <c r="I254" s="9"/>
    </row>
    <row r="255" spans="1:9" x14ac:dyDescent="0.25">
      <c r="A255" s="9"/>
      <c r="B255" s="9"/>
      <c r="C255" s="9"/>
      <c r="D255" s="9"/>
      <c r="E255" s="10"/>
      <c r="F255" s="9"/>
      <c r="G255" s="11"/>
      <c r="H255" s="9"/>
      <c r="I255" s="9"/>
    </row>
    <row r="256" spans="1:9" x14ac:dyDescent="0.25">
      <c r="A256" s="9"/>
      <c r="B256" s="9"/>
      <c r="C256" s="9"/>
      <c r="D256" s="9"/>
      <c r="E256" s="10"/>
      <c r="F256" s="9"/>
      <c r="G256" s="11"/>
      <c r="H256" s="9"/>
      <c r="I256" s="9"/>
    </row>
    <row r="257" spans="1:9" x14ac:dyDescent="0.25">
      <c r="A257" s="9"/>
      <c r="B257" s="9"/>
      <c r="C257" s="9"/>
      <c r="D257" s="9"/>
      <c r="E257" s="10"/>
      <c r="F257" s="9"/>
      <c r="G257" s="11"/>
      <c r="H257" s="9"/>
      <c r="I257" s="9"/>
    </row>
    <row r="258" spans="1:9" x14ac:dyDescent="0.25">
      <c r="A258" s="9"/>
      <c r="B258" s="9"/>
      <c r="C258" s="9"/>
      <c r="D258" s="9"/>
      <c r="E258" s="10"/>
      <c r="F258" s="9"/>
      <c r="G258" s="11"/>
      <c r="H258" s="9"/>
      <c r="I258" s="9"/>
    </row>
    <row r="259" spans="1:9" x14ac:dyDescent="0.25">
      <c r="A259" s="9"/>
      <c r="B259" s="9"/>
      <c r="C259" s="9"/>
      <c r="D259" s="9"/>
      <c r="E259" s="10"/>
      <c r="F259" s="9"/>
      <c r="G259" s="11"/>
      <c r="H259" s="9"/>
      <c r="I259" s="9"/>
    </row>
    <row r="260" spans="1:9" x14ac:dyDescent="0.25">
      <c r="A260" s="9"/>
      <c r="B260" s="9"/>
      <c r="C260" s="9"/>
      <c r="D260" s="9"/>
      <c r="E260" s="10"/>
      <c r="F260" s="9"/>
      <c r="G260" s="11"/>
      <c r="H260" s="9"/>
      <c r="I260" s="9"/>
    </row>
    <row r="261" spans="1:9" x14ac:dyDescent="0.25">
      <c r="A261" s="9"/>
      <c r="B261" s="9"/>
      <c r="C261" s="9"/>
      <c r="D261" s="9"/>
      <c r="E261" s="10"/>
      <c r="F261" s="9"/>
      <c r="G261" s="11"/>
      <c r="H261" s="9"/>
      <c r="I261" s="9"/>
    </row>
    <row r="262" spans="1:9" x14ac:dyDescent="0.25">
      <c r="A262" s="9"/>
      <c r="B262" s="9"/>
      <c r="C262" s="9"/>
      <c r="D262" s="9"/>
      <c r="E262" s="10"/>
      <c r="F262" s="9"/>
      <c r="G262" s="11"/>
      <c r="H262" s="9"/>
      <c r="I262" s="9"/>
    </row>
    <row r="263" spans="1:9" x14ac:dyDescent="0.25">
      <c r="A263" s="9"/>
      <c r="B263" s="9"/>
      <c r="C263" s="9"/>
      <c r="D263" s="9"/>
      <c r="E263" s="10"/>
      <c r="F263" s="9"/>
      <c r="G263" s="11"/>
      <c r="H263" s="9"/>
      <c r="I263" s="9"/>
    </row>
    <row r="264" spans="1:9" x14ac:dyDescent="0.25">
      <c r="A264" s="9"/>
      <c r="B264" s="9"/>
      <c r="C264" s="9"/>
      <c r="D264" s="9"/>
      <c r="E264" s="10"/>
      <c r="F264" s="9"/>
      <c r="G264" s="11"/>
      <c r="H264" s="9"/>
      <c r="I264" s="9"/>
    </row>
    <row r="265" spans="1:9" x14ac:dyDescent="0.25">
      <c r="A265" s="9"/>
      <c r="B265" s="9"/>
      <c r="C265" s="9"/>
      <c r="D265" s="9"/>
      <c r="E265" s="10"/>
      <c r="F265" s="9"/>
      <c r="G265" s="11"/>
      <c r="H265" s="9"/>
      <c r="I265" s="9"/>
    </row>
    <row r="266" spans="1:9" x14ac:dyDescent="0.25">
      <c r="A266" s="9"/>
      <c r="B266" s="9"/>
      <c r="C266" s="9"/>
      <c r="D266" s="9"/>
      <c r="E266" s="10"/>
      <c r="F266" s="9"/>
      <c r="G266" s="11"/>
      <c r="H266" s="9"/>
      <c r="I266" s="9"/>
    </row>
    <row r="267" spans="1:9" x14ac:dyDescent="0.25">
      <c r="A267" s="9"/>
      <c r="B267" s="9"/>
      <c r="C267" s="9"/>
      <c r="D267" s="9"/>
      <c r="E267" s="10"/>
      <c r="F267" s="9"/>
      <c r="G267" s="11"/>
      <c r="H267" s="9"/>
      <c r="I267" s="9"/>
    </row>
    <row r="268" spans="1:9" x14ac:dyDescent="0.25">
      <c r="A268" s="9"/>
      <c r="B268" s="9"/>
      <c r="C268" s="9"/>
      <c r="D268" s="9"/>
      <c r="E268" s="10"/>
      <c r="F268" s="9"/>
      <c r="G268" s="11"/>
      <c r="H268" s="9"/>
      <c r="I268" s="9"/>
    </row>
    <row r="269" spans="1:9" x14ac:dyDescent="0.25">
      <c r="A269" s="9"/>
      <c r="B269" s="9"/>
      <c r="C269" s="9"/>
      <c r="D269" s="9"/>
      <c r="E269" s="10"/>
      <c r="F269" s="9"/>
      <c r="G269" s="11"/>
      <c r="H269" s="9"/>
      <c r="I269" s="9"/>
    </row>
    <row r="270" spans="1:9" x14ac:dyDescent="0.25">
      <c r="A270" s="9"/>
      <c r="B270" s="9"/>
      <c r="C270" s="9"/>
      <c r="D270" s="9"/>
      <c r="E270" s="10"/>
      <c r="F270" s="9"/>
      <c r="G270" s="11"/>
      <c r="H270" s="9"/>
      <c r="I270" s="9"/>
    </row>
    <row r="271" spans="1:9" x14ac:dyDescent="0.25">
      <c r="A271" s="9"/>
      <c r="B271" s="9"/>
      <c r="C271" s="9"/>
      <c r="D271" s="9"/>
      <c r="E271" s="10"/>
      <c r="F271" s="9"/>
      <c r="G271" s="11"/>
      <c r="H271" s="9"/>
      <c r="I271" s="9"/>
    </row>
    <row r="272" spans="1:9" x14ac:dyDescent="0.25">
      <c r="A272" s="9"/>
      <c r="B272" s="9"/>
      <c r="C272" s="9"/>
      <c r="D272" s="9"/>
      <c r="E272" s="10"/>
      <c r="F272" s="9"/>
      <c r="G272" s="11"/>
      <c r="H272" s="9"/>
      <c r="I272" s="9"/>
    </row>
    <row r="273" spans="1:9" x14ac:dyDescent="0.25">
      <c r="A273" s="9"/>
      <c r="B273" s="9"/>
      <c r="C273" s="9"/>
      <c r="D273" s="9"/>
      <c r="E273" s="10"/>
      <c r="F273" s="9"/>
      <c r="G273" s="11"/>
      <c r="H273" s="9"/>
      <c r="I273" s="9"/>
    </row>
    <row r="274" spans="1:9" x14ac:dyDescent="0.25">
      <c r="A274" s="9"/>
      <c r="B274" s="9"/>
      <c r="C274" s="9"/>
      <c r="D274" s="9"/>
      <c r="E274" s="10"/>
      <c r="F274" s="9"/>
      <c r="G274" s="11"/>
      <c r="H274" s="9"/>
      <c r="I274" s="9"/>
    </row>
    <row r="275" spans="1:9" x14ac:dyDescent="0.25">
      <c r="A275" s="9"/>
      <c r="B275" s="9"/>
      <c r="C275" s="9"/>
      <c r="D275" s="9"/>
      <c r="E275" s="10"/>
      <c r="F275" s="9"/>
      <c r="G275" s="11"/>
      <c r="H275" s="9"/>
      <c r="I275" s="9"/>
    </row>
    <row r="276" spans="1:9" x14ac:dyDescent="0.25">
      <c r="A276" s="9"/>
      <c r="B276" s="9"/>
      <c r="C276" s="9"/>
      <c r="D276" s="9"/>
      <c r="E276" s="10"/>
      <c r="F276" s="9"/>
      <c r="G276" s="11"/>
      <c r="H276" s="9"/>
      <c r="I276" s="9"/>
    </row>
    <row r="277" spans="1:9" x14ac:dyDescent="0.25">
      <c r="A277" s="9"/>
      <c r="B277" s="9"/>
      <c r="C277" s="9"/>
      <c r="D277" s="9"/>
      <c r="E277" s="10"/>
      <c r="F277" s="9"/>
      <c r="G277" s="11"/>
      <c r="H277" s="9"/>
      <c r="I277" s="9"/>
    </row>
    <row r="278" spans="1:9" x14ac:dyDescent="0.25">
      <c r="A278" s="9"/>
      <c r="B278" s="9"/>
      <c r="C278" s="9"/>
      <c r="D278" s="9"/>
      <c r="E278" s="10"/>
      <c r="F278" s="9"/>
      <c r="G278" s="11"/>
      <c r="H278" s="9"/>
      <c r="I278" s="9"/>
    </row>
    <row r="279" spans="1:9" x14ac:dyDescent="0.25">
      <c r="A279" s="9"/>
      <c r="B279" s="9"/>
      <c r="C279" s="9"/>
      <c r="D279" s="9"/>
      <c r="E279" s="10"/>
      <c r="F279" s="9"/>
      <c r="G279" s="11"/>
      <c r="H279" s="9"/>
      <c r="I279" s="9"/>
    </row>
    <row r="280" spans="1:9" x14ac:dyDescent="0.25">
      <c r="A280" s="9"/>
      <c r="B280" s="9" t="s">
        <v>36</v>
      </c>
      <c r="C280" s="9"/>
      <c r="D280" s="9"/>
      <c r="E280" s="9"/>
      <c r="F280" s="9"/>
      <c r="G280" s="9"/>
      <c r="H280" s="9"/>
      <c r="I280" s="9"/>
    </row>
    <row r="281" spans="1:9" x14ac:dyDescent="0.25">
      <c r="A281" s="9"/>
      <c r="B281" s="9" t="s">
        <v>37</v>
      </c>
      <c r="C281" s="9" t="s">
        <v>16</v>
      </c>
      <c r="D281" s="27">
        <f>(D249+C249)*C161*C161/12+ABS((B249-D250)*C161*C161/20)</f>
        <v>26.325393749999986</v>
      </c>
      <c r="E281" s="9" t="s">
        <v>58</v>
      </c>
      <c r="F281" s="9" t="s">
        <v>41</v>
      </c>
      <c r="G281" s="9" t="s">
        <v>16</v>
      </c>
      <c r="H281" s="27">
        <f>(D249+C249)*C161*C161/12+ABS((B249-D250)*C161*C161/30)</f>
        <v>25.658699999999989</v>
      </c>
      <c r="I281" s="9" t="s">
        <v>58</v>
      </c>
    </row>
    <row r="282" spans="1:9" x14ac:dyDescent="0.25">
      <c r="A282" s="9"/>
      <c r="B282" s="9" t="s">
        <v>38</v>
      </c>
      <c r="C282" s="9" t="s">
        <v>16</v>
      </c>
      <c r="D282" s="27">
        <f>-((D249+C249)*C161*C161/12+ABS((B249-D250)*C161*C161/30))</f>
        <v>-25.658699999999989</v>
      </c>
      <c r="E282" s="9" t="s">
        <v>58</v>
      </c>
      <c r="F282" s="9" t="s">
        <v>42</v>
      </c>
      <c r="G282" s="9" t="s">
        <v>16</v>
      </c>
      <c r="H282" s="27">
        <f>-((D249+C249)*C161*C161/12+ABS((B249-D250)*C161*C161/20))</f>
        <v>-26.325393749999986</v>
      </c>
      <c r="I282" s="9" t="s">
        <v>58</v>
      </c>
    </row>
    <row r="283" spans="1:9" x14ac:dyDescent="0.25">
      <c r="A283" s="9"/>
      <c r="B283" s="9" t="s">
        <v>39</v>
      </c>
      <c r="C283" s="9" t="s">
        <v>16</v>
      </c>
      <c r="D283" s="27">
        <f>F238*H98*H98/12</f>
        <v>289.55003546099289</v>
      </c>
      <c r="E283" s="9" t="s">
        <v>58</v>
      </c>
      <c r="F283" s="9" t="s">
        <v>43</v>
      </c>
      <c r="G283" s="9" t="s">
        <v>16</v>
      </c>
      <c r="H283" s="27">
        <f>E250*H98*H98/12</f>
        <v>304.9660283687943</v>
      </c>
      <c r="I283" s="9" t="s">
        <v>58</v>
      </c>
    </row>
    <row r="284" spans="1:9" x14ac:dyDescent="0.25">
      <c r="A284" s="9"/>
      <c r="B284" s="9" t="s">
        <v>40</v>
      </c>
      <c r="C284" s="9" t="s">
        <v>16</v>
      </c>
      <c r="D284" s="27">
        <f>-F238*H98*H98/12</f>
        <v>-289.55003546099289</v>
      </c>
      <c r="E284" s="9" t="s">
        <v>58</v>
      </c>
      <c r="F284" s="9" t="s">
        <v>44</v>
      </c>
      <c r="G284" s="9" t="s">
        <v>16</v>
      </c>
      <c r="H284" s="27">
        <f>-E250*H98*H98/12</f>
        <v>-304.9660283687943</v>
      </c>
      <c r="I284" s="9" t="s">
        <v>58</v>
      </c>
    </row>
    <row r="285" spans="1:9" x14ac:dyDescent="0.25">
      <c r="A285" s="9"/>
      <c r="B285" s="9"/>
      <c r="C285" s="9"/>
      <c r="D285" s="9"/>
      <c r="E285" s="27"/>
      <c r="F285" s="9"/>
      <c r="G285" s="9"/>
      <c r="H285" s="9"/>
      <c r="I285" s="27"/>
    </row>
    <row r="286" spans="1:9" x14ac:dyDescent="0.25">
      <c r="A286" s="9"/>
      <c r="B286" s="9" t="s">
        <v>45</v>
      </c>
      <c r="C286" s="9"/>
      <c r="D286" s="9"/>
      <c r="E286" s="9"/>
      <c r="F286" s="9"/>
      <c r="G286" s="9"/>
      <c r="H286" s="9"/>
      <c r="I286" s="9"/>
    </row>
    <row r="287" spans="1:9" x14ac:dyDescent="0.25">
      <c r="A287" s="9"/>
      <c r="B287" s="9"/>
      <c r="C287" s="9"/>
      <c r="D287" s="9"/>
      <c r="E287" s="9" t="s">
        <v>47</v>
      </c>
      <c r="F287" s="9"/>
      <c r="G287" s="9"/>
      <c r="H287" s="9"/>
      <c r="I287" s="9"/>
    </row>
    <row r="288" spans="1:9" x14ac:dyDescent="0.25">
      <c r="A288" s="9"/>
      <c r="B288" s="9"/>
      <c r="C288" s="9"/>
      <c r="D288" s="9"/>
      <c r="E288" s="9">
        <f>F238*H98*H98/8</f>
        <v>434.3250531914893</v>
      </c>
      <c r="F288" s="9" t="s">
        <v>58</v>
      </c>
      <c r="G288" s="9"/>
      <c r="H288" s="9"/>
      <c r="I288" s="9"/>
    </row>
    <row r="289" spans="1:9" ht="15.75" thickBot="1" x14ac:dyDescent="0.3">
      <c r="A289" s="9"/>
      <c r="B289" s="9"/>
      <c r="C289" s="9"/>
      <c r="D289" s="9"/>
      <c r="E289" s="9"/>
      <c r="F289" s="9"/>
      <c r="G289" s="9"/>
      <c r="H289" s="9"/>
      <c r="I289" s="9"/>
    </row>
    <row r="290" spans="1:9" x14ac:dyDescent="0.25">
      <c r="A290" s="9"/>
      <c r="B290" s="28">
        <f>B198</f>
        <v>0.58666666666666667</v>
      </c>
      <c r="C290" s="29">
        <f>C198</f>
        <v>0.41333333333333333</v>
      </c>
      <c r="D290" s="9"/>
      <c r="E290" s="9"/>
      <c r="F290" s="9"/>
      <c r="G290" s="9"/>
      <c r="H290" s="30">
        <f>H198</f>
        <v>0.41333333333333333</v>
      </c>
      <c r="I290" s="31">
        <f>I198</f>
        <v>0.58666666666666667</v>
      </c>
    </row>
    <row r="291" spans="1:9" x14ac:dyDescent="0.25">
      <c r="A291" s="9"/>
      <c r="B291" s="32">
        <f>D282</f>
        <v>-25.658699999999989</v>
      </c>
      <c r="C291" s="33">
        <f>D283</f>
        <v>289.55003546099289</v>
      </c>
      <c r="D291" s="9"/>
      <c r="E291" s="9"/>
      <c r="F291" s="9"/>
      <c r="G291" s="9"/>
      <c r="H291" s="34">
        <f>D284</f>
        <v>-289.55003546099289</v>
      </c>
      <c r="I291" s="35">
        <f>H281</f>
        <v>25.658699999999989</v>
      </c>
    </row>
    <row r="292" spans="1:9" x14ac:dyDescent="0.25">
      <c r="A292" s="9"/>
      <c r="B292" s="36">
        <f>-(C291+B291)*B290</f>
        <v>-154.81625013711582</v>
      </c>
      <c r="C292" s="37">
        <f>-(C291+B291)*C290</f>
        <v>-109.07508532387706</v>
      </c>
      <c r="D292" s="9"/>
      <c r="E292" s="9"/>
      <c r="F292" s="9"/>
      <c r="G292" s="9"/>
      <c r="H292" s="38">
        <f>-(H291+I291)*H290</f>
        <v>109.07508532387706</v>
      </c>
      <c r="I292" s="39">
        <f>-(H291+I291)*I290</f>
        <v>154.81625013711582</v>
      </c>
    </row>
    <row r="293" spans="1:9" x14ac:dyDescent="0.25">
      <c r="A293" s="9"/>
      <c r="B293" s="36">
        <f>B311/2</f>
        <v>65.754595804166996</v>
      </c>
      <c r="C293" s="37">
        <f>H292/2</f>
        <v>54.537542661938531</v>
      </c>
      <c r="D293" s="9"/>
      <c r="E293" s="9"/>
      <c r="F293" s="9"/>
      <c r="G293" s="9"/>
      <c r="H293" s="38">
        <f>C292/2</f>
        <v>-54.537542661938531</v>
      </c>
      <c r="I293" s="39">
        <f>I311/2</f>
        <v>-65.754595804166996</v>
      </c>
    </row>
    <row r="294" spans="1:9" ht="15" customHeight="1" x14ac:dyDescent="0.25">
      <c r="A294" s="9"/>
      <c r="B294" s="36">
        <f>-(B293+C293)*B290</f>
        <v>-70.571387900115241</v>
      </c>
      <c r="C294" s="37">
        <f>-(C293+B293)*C290</f>
        <v>-49.720750565990286</v>
      </c>
      <c r="D294" s="165">
        <f>(D184+C184)*H100*H100/8+(ABS(B184-D250)*H100*H100/16)</f>
        <v>38.988070312499978</v>
      </c>
      <c r="E294" s="9"/>
      <c r="F294" s="9"/>
      <c r="G294" s="166">
        <f>(D184+C184)*H100*H100/8+(ABS(B184-D250)*H100*H100/16)</f>
        <v>38.988070312499978</v>
      </c>
      <c r="H294" s="38">
        <f>-(H293+I293)*H290</f>
        <v>49.720750565990286</v>
      </c>
      <c r="I294" s="39">
        <f>-(I293+H293)*I290</f>
        <v>70.571387900115241</v>
      </c>
    </row>
    <row r="295" spans="1:9" x14ac:dyDescent="0.25">
      <c r="A295" s="9"/>
      <c r="B295" s="36">
        <f>B313/2</f>
        <v>35.627338676001443</v>
      </c>
      <c r="C295" s="37">
        <f>H294/2</f>
        <v>24.860375282995143</v>
      </c>
      <c r="D295" s="165"/>
      <c r="E295" s="9"/>
      <c r="F295" s="9"/>
      <c r="G295" s="166"/>
      <c r="H295" s="38">
        <f>C294/2</f>
        <v>-24.860375282995143</v>
      </c>
      <c r="I295" s="39">
        <f>I313/2</f>
        <v>-35.627338676001443</v>
      </c>
    </row>
    <row r="296" spans="1:9" x14ac:dyDescent="0.25">
      <c r="A296" s="9"/>
      <c r="B296" s="36">
        <f>-(B295+C295)*B290</f>
        <v>-35.486125522611331</v>
      </c>
      <c r="C296" s="37">
        <f>-(B295+C295)*C290</f>
        <v>-25.001588436385255</v>
      </c>
      <c r="D296" s="165"/>
      <c r="E296" s="9"/>
      <c r="F296" s="9"/>
      <c r="G296" s="166"/>
      <c r="H296" s="38">
        <f>-(H295+I295)*H290</f>
        <v>25.001588436385255</v>
      </c>
      <c r="I296" s="39">
        <f>-(H295+I295)*I290</f>
        <v>35.486125522611331</v>
      </c>
    </row>
    <row r="297" spans="1:9" x14ac:dyDescent="0.25">
      <c r="A297" s="9"/>
      <c r="B297" s="36">
        <f>B315/2</f>
        <v>17.73304681539631</v>
      </c>
      <c r="C297" s="37">
        <f>H296/2</f>
        <v>12.500794218192627</v>
      </c>
      <c r="D297" s="165"/>
      <c r="E297" s="9"/>
      <c r="F297" s="9"/>
      <c r="G297" s="166"/>
      <c r="H297" s="38">
        <f>C296/2</f>
        <v>-12.500794218192627</v>
      </c>
      <c r="I297" s="39">
        <f>I315/2</f>
        <v>-17.73304681539631</v>
      </c>
    </row>
    <row r="298" spans="1:9" x14ac:dyDescent="0.25">
      <c r="A298" s="9"/>
      <c r="B298" s="36">
        <f>-(B297+C297)*B290</f>
        <v>-17.737186739705511</v>
      </c>
      <c r="C298" s="37">
        <f>-(B297+C297)*C290</f>
        <v>-12.496654293883427</v>
      </c>
      <c r="D298" s="165"/>
      <c r="E298" s="9"/>
      <c r="F298" s="9"/>
      <c r="G298" s="166"/>
      <c r="H298" s="38">
        <f>-(H297+I297)*H290</f>
        <v>12.496654293883427</v>
      </c>
      <c r="I298" s="39">
        <f>-(H297+I297)*I290</f>
        <v>17.737186739705511</v>
      </c>
    </row>
    <row r="299" spans="1:9" x14ac:dyDescent="0.25">
      <c r="A299" s="9"/>
      <c r="B299" s="36">
        <f>B317/2</f>
        <v>8.8688870057992268</v>
      </c>
      <c r="C299" s="37">
        <f>H298/2</f>
        <v>6.2483271469417137</v>
      </c>
      <c r="D299" s="165"/>
      <c r="E299" s="9"/>
      <c r="F299" s="9"/>
      <c r="G299" s="166"/>
      <c r="H299" s="38">
        <f>C298/2</f>
        <v>-6.2483271469417137</v>
      </c>
      <c r="I299" s="39">
        <f>I317/2</f>
        <v>-8.8688870057992268</v>
      </c>
    </row>
    <row r="300" spans="1:9" x14ac:dyDescent="0.25">
      <c r="A300" s="9"/>
      <c r="B300" s="36">
        <f>-(B299+C299)*B290</f>
        <v>-8.8687656362746843</v>
      </c>
      <c r="C300" s="37">
        <f>-(C299+B299)*C290</f>
        <v>-6.2484485164662553</v>
      </c>
      <c r="D300" s="165"/>
      <c r="E300" s="9"/>
      <c r="F300" s="9"/>
      <c r="G300" s="166"/>
      <c r="H300" s="38">
        <f>-(H299+I299)*H290</f>
        <v>6.2484485164662553</v>
      </c>
      <c r="I300" s="39">
        <f>-(H299+I299)*I290</f>
        <v>8.8687656362746843</v>
      </c>
    </row>
    <row r="301" spans="1:9" x14ac:dyDescent="0.25">
      <c r="A301" s="9"/>
      <c r="B301" s="36">
        <f>B319/2</f>
        <v>4.4343742096574417</v>
      </c>
      <c r="C301" s="37">
        <f>H300/2</f>
        <v>3.1242242582331277</v>
      </c>
      <c r="D301" s="165"/>
      <c r="E301" s="9"/>
      <c r="F301" s="9"/>
      <c r="G301" s="166"/>
      <c r="H301" s="38">
        <f>C300/2</f>
        <v>-3.1242242582331277</v>
      </c>
      <c r="I301" s="39">
        <f>I319/2</f>
        <v>-4.4343742096574417</v>
      </c>
    </row>
    <row r="302" spans="1:9" x14ac:dyDescent="0.25">
      <c r="A302" s="9"/>
      <c r="B302" s="36">
        <f>-(B301+C301)*B290</f>
        <v>-4.4343777678291341</v>
      </c>
      <c r="C302" s="37">
        <f>-(C301+B301)*C290</f>
        <v>-3.1242207000614353</v>
      </c>
      <c r="D302" s="165"/>
      <c r="E302" s="9"/>
      <c r="F302" s="9"/>
      <c r="G302" s="166"/>
      <c r="H302" s="38">
        <f>-(H301+I301)*H290</f>
        <v>3.1242207000614353</v>
      </c>
      <c r="I302" s="39">
        <f>-(I301+H301)*I290</f>
        <v>4.4343777678291341</v>
      </c>
    </row>
    <row r="303" spans="1:9" x14ac:dyDescent="0.25">
      <c r="A303" s="9"/>
      <c r="B303" s="36">
        <f>B321/2</f>
        <v>2.2171891362880491</v>
      </c>
      <c r="C303" s="37">
        <f>H302/2</f>
        <v>1.5621103500307176</v>
      </c>
      <c r="D303" s="9"/>
      <c r="E303" s="9"/>
      <c r="F303" s="9"/>
      <c r="G303" s="9"/>
      <c r="H303" s="38">
        <f>C302/2</f>
        <v>-1.5621103500307176</v>
      </c>
      <c r="I303" s="39">
        <f>I321/2</f>
        <v>-2.2171891362880491</v>
      </c>
    </row>
    <row r="304" spans="1:9" ht="15.75" thickBot="1" x14ac:dyDescent="0.3">
      <c r="A304" s="9"/>
      <c r="B304" s="15">
        <f>-(B303+C303)*B290</f>
        <v>-2.2171890319736764</v>
      </c>
      <c r="C304" s="40">
        <f>-(B303+C303)*C290</f>
        <v>-1.5621104543450901</v>
      </c>
      <c r="D304" s="9"/>
      <c r="E304" s="9"/>
      <c r="F304" s="9"/>
      <c r="G304" s="9"/>
      <c r="H304" s="41">
        <f>-(H303+I303)*H290</f>
        <v>1.5621104543450901</v>
      </c>
      <c r="I304" s="13">
        <f>-(H303+I303)*I290</f>
        <v>2.2171890319736764</v>
      </c>
    </row>
    <row r="305" spans="1:9" ht="15.75" thickBot="1" x14ac:dyDescent="0.3">
      <c r="A305" s="9"/>
      <c r="B305" s="42">
        <f>SUM(B291:B304)</f>
        <v>-185.15455108831591</v>
      </c>
      <c r="C305" s="43">
        <f>SUM(C291:C304)</f>
        <v>185.15455108831594</v>
      </c>
      <c r="D305" s="9"/>
      <c r="E305" s="9"/>
      <c r="F305" s="9"/>
      <c r="G305" s="9"/>
      <c r="H305" s="44">
        <f>SUM(H291:H304)</f>
        <v>-185.15455108831594</v>
      </c>
      <c r="I305" s="45">
        <f>SUM(I291:I304)</f>
        <v>185.15455108831591</v>
      </c>
    </row>
    <row r="306" spans="1:9" x14ac:dyDescent="0.25">
      <c r="A306" s="9"/>
      <c r="B306" s="9"/>
      <c r="C306" s="9"/>
      <c r="D306" s="9"/>
      <c r="E306" s="9"/>
      <c r="F306" s="9"/>
      <c r="G306" s="9"/>
      <c r="H306" s="9"/>
      <c r="I306" s="9"/>
    </row>
    <row r="307" spans="1:9" x14ac:dyDescent="0.25">
      <c r="A307" s="9"/>
      <c r="B307" s="9"/>
      <c r="C307" s="9"/>
      <c r="D307" s="9"/>
      <c r="E307" s="9"/>
      <c r="F307" s="9"/>
      <c r="G307" s="9"/>
      <c r="H307" s="9"/>
      <c r="I307" s="9"/>
    </row>
    <row r="308" spans="1:9" ht="15.75" thickBot="1" x14ac:dyDescent="0.3">
      <c r="A308" s="9"/>
      <c r="B308" s="9"/>
      <c r="C308" s="9"/>
      <c r="D308" s="9"/>
      <c r="E308" s="9"/>
      <c r="F308" s="9"/>
      <c r="G308" s="9"/>
      <c r="H308" s="9"/>
      <c r="I308" s="9"/>
    </row>
    <row r="309" spans="1:9" x14ac:dyDescent="0.25">
      <c r="A309" s="9"/>
      <c r="B309" s="28">
        <f>B217</f>
        <v>0.47196702587277156</v>
      </c>
      <c r="C309" s="29">
        <f>C217</f>
        <v>0.52803297412722849</v>
      </c>
      <c r="D309" s="9"/>
      <c r="E309" s="9"/>
      <c r="F309" s="9"/>
      <c r="G309" s="9"/>
      <c r="H309" s="30">
        <f>H217</f>
        <v>0.52803297412722849</v>
      </c>
      <c r="I309" s="31">
        <f>I217</f>
        <v>0.47196702587277156</v>
      </c>
    </row>
    <row r="310" spans="1:9" x14ac:dyDescent="0.25">
      <c r="A310" s="9"/>
      <c r="B310" s="32">
        <f>D281</f>
        <v>26.325393749999986</v>
      </c>
      <c r="C310" s="33">
        <f>H284</f>
        <v>-304.9660283687943</v>
      </c>
      <c r="D310" s="9"/>
      <c r="E310" s="10" t="s">
        <v>46</v>
      </c>
      <c r="F310" s="9"/>
      <c r="G310" s="9"/>
      <c r="H310" s="34">
        <f>H283</f>
        <v>304.9660283687943</v>
      </c>
      <c r="I310" s="35">
        <f>H282</f>
        <v>-26.325393749999986</v>
      </c>
    </row>
    <row r="311" spans="1:9" x14ac:dyDescent="0.25">
      <c r="A311" s="9"/>
      <c r="B311" s="36">
        <f>-(B310+C310)*B309</f>
        <v>131.50919160833399</v>
      </c>
      <c r="C311" s="46">
        <f>-(C310+B310)*C309</f>
        <v>147.13144301046034</v>
      </c>
      <c r="D311" s="9"/>
      <c r="E311" s="9">
        <f>E250*H98*H98/8</f>
        <v>457.44904255319142</v>
      </c>
      <c r="F311" s="9" t="s">
        <v>58</v>
      </c>
      <c r="G311" s="9"/>
      <c r="H311" s="38">
        <f>-(H310+I310)*H309</f>
        <v>-147.13144301046034</v>
      </c>
      <c r="I311" s="39">
        <f>-(I310+H310)*I309</f>
        <v>-131.50919160833399</v>
      </c>
    </row>
    <row r="312" spans="1:9" x14ac:dyDescent="0.25">
      <c r="A312" s="9"/>
      <c r="B312" s="36">
        <f>B292/2</f>
        <v>-77.408125068557908</v>
      </c>
      <c r="C312" s="37">
        <f>H311/2</f>
        <v>-73.565721505230172</v>
      </c>
      <c r="D312" s="9"/>
      <c r="E312" s="9"/>
      <c r="F312" s="9"/>
      <c r="G312" s="9"/>
      <c r="H312" s="38">
        <f>C311/2</f>
        <v>73.565721505230172</v>
      </c>
      <c r="I312" s="39">
        <f>I292/2</f>
        <v>77.408125068557908</v>
      </c>
    </row>
    <row r="313" spans="1:9" x14ac:dyDescent="0.25">
      <c r="A313" s="9"/>
      <c r="B313" s="36">
        <f>-(B312+C312)*B309</f>
        <v>71.254677352002886</v>
      </c>
      <c r="C313" s="37">
        <f>-(B312+C312)*C309</f>
        <v>79.719169221785208</v>
      </c>
      <c r="D313" s="9"/>
      <c r="E313" s="9"/>
      <c r="F313" s="9"/>
      <c r="G313" s="9"/>
      <c r="H313" s="38">
        <f>-(H312+I312)*H309</f>
        <v>-79.719169221785208</v>
      </c>
      <c r="I313" s="39">
        <f>-(I312+H312)*I309</f>
        <v>-71.254677352002886</v>
      </c>
    </row>
    <row r="314" spans="1:9" x14ac:dyDescent="0.25">
      <c r="A314" s="9"/>
      <c r="B314" s="36">
        <f>B294/2</f>
        <v>-35.28569395005762</v>
      </c>
      <c r="C314" s="37">
        <f>H313/2</f>
        <v>-39.859584610892604</v>
      </c>
      <c r="D314" s="9"/>
      <c r="E314" s="9"/>
      <c r="F314" s="9"/>
      <c r="G314" s="9"/>
      <c r="H314" s="38">
        <f>C313/2</f>
        <v>39.859584610892604</v>
      </c>
      <c r="I314" s="39">
        <f>I294/2</f>
        <v>35.28569395005762</v>
      </c>
    </row>
    <row r="315" spans="1:9" x14ac:dyDescent="0.25">
      <c r="A315" s="9"/>
      <c r="B315" s="36">
        <f>-(B314+C314)*B309</f>
        <v>35.466093630792621</v>
      </c>
      <c r="C315" s="37">
        <f>-(B314+C314)*C309</f>
        <v>39.679184930157611</v>
      </c>
      <c r="D315" s="9"/>
      <c r="E315" s="9"/>
      <c r="F315" s="9"/>
      <c r="G315" s="9"/>
      <c r="H315" s="38">
        <f>-(H314+I314)*H309</f>
        <v>-39.679184930157611</v>
      </c>
      <c r="I315" s="39">
        <f>-(H314+I314)*I309</f>
        <v>-35.466093630792621</v>
      </c>
    </row>
    <row r="316" spans="1:9" x14ac:dyDescent="0.25">
      <c r="A316" s="9"/>
      <c r="B316" s="36">
        <f>B296/2</f>
        <v>-17.743062761305666</v>
      </c>
      <c r="C316" s="37">
        <f>H315/2</f>
        <v>-19.839592465078805</v>
      </c>
      <c r="D316" s="9"/>
      <c r="E316" s="9"/>
      <c r="F316" s="9"/>
      <c r="G316" s="9"/>
      <c r="H316" s="38">
        <f>C315/2</f>
        <v>19.839592465078805</v>
      </c>
      <c r="I316" s="39">
        <f>I296/2</f>
        <v>17.743062761305666</v>
      </c>
    </row>
    <row r="317" spans="1:9" x14ac:dyDescent="0.25">
      <c r="A317" s="9"/>
      <c r="B317" s="36">
        <f>-(B316+C316)*B309</f>
        <v>17.737774011598454</v>
      </c>
      <c r="C317" s="37">
        <f>-(C316+B316)*C309</f>
        <v>19.844881214786021</v>
      </c>
      <c r="D317" s="9"/>
      <c r="E317" s="9"/>
      <c r="F317" s="9"/>
      <c r="G317" s="9"/>
      <c r="H317" s="38">
        <f>-(H316+I316)*H309</f>
        <v>-19.844881214786021</v>
      </c>
      <c r="I317" s="39">
        <f>-(H316+I316)*I309</f>
        <v>-17.737774011598454</v>
      </c>
    </row>
    <row r="318" spans="1:9" x14ac:dyDescent="0.25">
      <c r="A318" s="9"/>
      <c r="B318" s="36">
        <f>B298/2</f>
        <v>-8.8685933698527553</v>
      </c>
      <c r="C318" s="37">
        <f>H317/2</f>
        <v>-9.9224406073930105</v>
      </c>
      <c r="D318" s="9"/>
      <c r="E318" s="9"/>
      <c r="F318" s="9"/>
      <c r="G318" s="9"/>
      <c r="H318" s="38">
        <f>C317/2</f>
        <v>9.9224406073930105</v>
      </c>
      <c r="I318" s="39">
        <f>I298/2</f>
        <v>8.8685933698527553</v>
      </c>
    </row>
    <row r="319" spans="1:9" x14ac:dyDescent="0.25">
      <c r="A319" s="9"/>
      <c r="B319" s="36">
        <f>-(B318+C318)*B309</f>
        <v>8.8687484193148833</v>
      </c>
      <c r="C319" s="37">
        <f>-(C318+B318)*C309</f>
        <v>9.922285557930886</v>
      </c>
      <c r="D319" s="9"/>
      <c r="E319" s="9"/>
      <c r="F319" s="9"/>
      <c r="G319" s="9"/>
      <c r="H319" s="38">
        <f>-(H318+I318)*H309</f>
        <v>-9.922285557930886</v>
      </c>
      <c r="I319" s="39">
        <f>-(H318+I318)*I309</f>
        <v>-8.8687484193148833</v>
      </c>
    </row>
    <row r="320" spans="1:9" x14ac:dyDescent="0.25">
      <c r="A320" s="9"/>
      <c r="B320" s="36">
        <f>B300/2</f>
        <v>-4.4343828181373421</v>
      </c>
      <c r="C320" s="37">
        <f>H319/2</f>
        <v>-4.961142778965443</v>
      </c>
      <c r="D320" s="9"/>
      <c r="E320" s="9"/>
      <c r="F320" s="9"/>
      <c r="G320" s="9"/>
      <c r="H320" s="38">
        <f>C319/2</f>
        <v>4.961142778965443</v>
      </c>
      <c r="I320" s="39">
        <f>I300/2</f>
        <v>4.4343828181373421</v>
      </c>
    </row>
    <row r="321" spans="1:9" x14ac:dyDescent="0.25">
      <c r="A321" s="9"/>
      <c r="B321" s="36">
        <f>-(B320+C320)*B309</f>
        <v>4.4343782725760983</v>
      </c>
      <c r="C321" s="37">
        <f>-(C320+B320)*C309</f>
        <v>4.9611473245266886</v>
      </c>
      <c r="D321" s="9"/>
      <c r="E321" s="9"/>
      <c r="F321" s="9"/>
      <c r="G321" s="9"/>
      <c r="H321" s="38">
        <f>-(H320+I320)*H309</f>
        <v>-4.9611473245266886</v>
      </c>
      <c r="I321" s="39">
        <f>-(I320+H320)*I309</f>
        <v>-4.4343782725760983</v>
      </c>
    </row>
    <row r="322" spans="1:9" x14ac:dyDescent="0.25">
      <c r="A322" s="9"/>
      <c r="B322" s="36">
        <f>B302/2</f>
        <v>-2.217188883914567</v>
      </c>
      <c r="C322" s="37">
        <f>H321/2</f>
        <v>-2.4805736622633443</v>
      </c>
      <c r="D322" s="9"/>
      <c r="E322" s="9"/>
      <c r="F322" s="9"/>
      <c r="G322" s="9"/>
      <c r="H322" s="38">
        <f>C321/2</f>
        <v>2.4805736622633443</v>
      </c>
      <c r="I322" s="39">
        <f>I302/2</f>
        <v>2.217188883914567</v>
      </c>
    </row>
    <row r="323" spans="1:9" ht="15.75" thickBot="1" x14ac:dyDescent="0.3">
      <c r="A323" s="9"/>
      <c r="B323" s="15">
        <f>-(B322+C322)*B309</f>
        <v>2.2171890171760871</v>
      </c>
      <c r="C323" s="40">
        <f>-(C322+B322)*C309</f>
        <v>2.4805735290018238</v>
      </c>
      <c r="D323" s="9"/>
      <c r="E323" s="9"/>
      <c r="F323" s="9"/>
      <c r="G323" s="9"/>
      <c r="H323" s="41">
        <f>-(H322+I322)*H309</f>
        <v>-2.4805735290018238</v>
      </c>
      <c r="I323" s="13">
        <f>-(H322+I322)*I309</f>
        <v>-2.2171890171760871</v>
      </c>
    </row>
    <row r="324" spans="1:9" ht="16.5" thickTop="1" thickBot="1" x14ac:dyDescent="0.3">
      <c r="A324" s="9"/>
      <c r="B324" s="47">
        <f>SUM(B310:B323)</f>
        <v>151.85639920996917</v>
      </c>
      <c r="C324" s="53">
        <f>SUM(C310:C323)</f>
        <v>-151.85639920996911</v>
      </c>
      <c r="D324" s="9"/>
      <c r="E324" s="9"/>
      <c r="F324" s="9"/>
      <c r="G324" s="9"/>
      <c r="H324" s="49">
        <f>SUM(H310:H323)</f>
        <v>151.85639920996911</v>
      </c>
      <c r="I324" s="50">
        <f>SUM(I310:I323)</f>
        <v>-151.85639920996917</v>
      </c>
    </row>
    <row r="325" spans="1:9" x14ac:dyDescent="0.25">
      <c r="A325" s="9"/>
      <c r="B325" s="23"/>
      <c r="C325" s="51"/>
      <c r="D325" s="9"/>
      <c r="E325" s="9"/>
      <c r="F325" s="9"/>
      <c r="G325" s="9"/>
      <c r="H325" s="23"/>
      <c r="I325" s="23"/>
    </row>
    <row r="326" spans="1:9" x14ac:dyDescent="0.25">
      <c r="A326" s="9"/>
      <c r="B326" s="9" t="s">
        <v>50</v>
      </c>
      <c r="C326" s="9" t="s">
        <v>51</v>
      </c>
      <c r="D326" s="9"/>
      <c r="E326" s="9"/>
      <c r="F326" s="9"/>
      <c r="G326" s="9"/>
      <c r="H326" s="9"/>
      <c r="I326" s="9"/>
    </row>
    <row r="327" spans="1:9" x14ac:dyDescent="0.25">
      <c r="A327" s="9"/>
      <c r="B327" s="9"/>
      <c r="C327" s="9"/>
      <c r="D327" s="9"/>
      <c r="E327" s="9"/>
      <c r="F327" s="9"/>
      <c r="G327" s="9"/>
      <c r="H327" s="9"/>
      <c r="I327" s="9"/>
    </row>
    <row r="328" spans="1:9" x14ac:dyDescent="0.25">
      <c r="A328" s="9"/>
      <c r="B328" s="9"/>
      <c r="C328" s="9"/>
      <c r="D328" s="9"/>
      <c r="E328" s="9"/>
      <c r="F328" s="9"/>
      <c r="G328" s="9"/>
      <c r="H328" s="9"/>
      <c r="I328" s="9"/>
    </row>
    <row r="329" spans="1:9" x14ac:dyDescent="0.25">
      <c r="A329" s="9"/>
      <c r="B329" s="9"/>
      <c r="C329" s="9"/>
      <c r="D329" s="9"/>
      <c r="E329" s="9"/>
      <c r="F329" s="9"/>
      <c r="G329" s="9"/>
      <c r="H329" s="9"/>
      <c r="I329" s="9"/>
    </row>
    <row r="330" spans="1:9" x14ac:dyDescent="0.25">
      <c r="A330" s="9"/>
      <c r="B330" s="9"/>
      <c r="C330" s="9"/>
      <c r="D330" s="9"/>
      <c r="E330" s="54">
        <f>F238</f>
        <v>79.765849989254235</v>
      </c>
      <c r="F330" s="9"/>
      <c r="G330" s="9"/>
      <c r="H330" s="9"/>
      <c r="I330" s="9"/>
    </row>
    <row r="331" spans="1:9" x14ac:dyDescent="0.25">
      <c r="A331" s="9"/>
      <c r="B331" s="9"/>
      <c r="C331" s="9"/>
      <c r="D331" s="9"/>
      <c r="E331" s="9"/>
      <c r="F331" s="9"/>
      <c r="G331" s="9"/>
      <c r="H331" s="9"/>
      <c r="I331" s="9"/>
    </row>
    <row r="332" spans="1:9" x14ac:dyDescent="0.25">
      <c r="A332" s="9"/>
      <c r="B332" s="9"/>
      <c r="C332" s="9"/>
      <c r="D332" s="9"/>
      <c r="E332" s="9"/>
      <c r="F332" s="9"/>
      <c r="G332" s="9"/>
      <c r="H332" s="9"/>
      <c r="I332" s="9"/>
    </row>
    <row r="333" spans="1:9" x14ac:dyDescent="0.25">
      <c r="A333" s="9"/>
      <c r="B333" s="9"/>
      <c r="C333" s="9"/>
      <c r="D333" s="9"/>
      <c r="E333" s="9"/>
      <c r="F333" s="9"/>
      <c r="G333" s="9"/>
      <c r="H333" s="9"/>
      <c r="I333" s="9"/>
    </row>
    <row r="334" spans="1:9" x14ac:dyDescent="0.25">
      <c r="A334" s="9"/>
      <c r="B334" s="9"/>
      <c r="C334" s="9"/>
      <c r="D334" s="9"/>
      <c r="E334" s="9"/>
      <c r="F334" s="9"/>
      <c r="G334" s="9"/>
      <c r="H334" s="9"/>
      <c r="I334" s="9"/>
    </row>
    <row r="335" spans="1:9" x14ac:dyDescent="0.25">
      <c r="A335" s="9"/>
      <c r="B335" s="9"/>
      <c r="C335" s="9"/>
      <c r="D335" s="9"/>
      <c r="E335" s="9"/>
      <c r="F335" s="9"/>
      <c r="G335" s="9"/>
      <c r="H335" s="9"/>
      <c r="I335" s="9"/>
    </row>
    <row r="336" spans="1:9" x14ac:dyDescent="0.25">
      <c r="A336" s="9"/>
      <c r="B336" s="9"/>
      <c r="C336" s="9"/>
      <c r="D336" s="9"/>
      <c r="E336" s="9"/>
      <c r="F336" s="9"/>
      <c r="G336" s="9"/>
      <c r="H336" s="9"/>
      <c r="I336" s="9"/>
    </row>
    <row r="337" spans="1:9" x14ac:dyDescent="0.25">
      <c r="A337" s="9"/>
      <c r="B337" s="9"/>
      <c r="C337" s="9"/>
      <c r="D337" s="9"/>
      <c r="E337" s="9"/>
      <c r="F337" s="9"/>
      <c r="G337" s="9"/>
      <c r="H337" s="9"/>
      <c r="I337" s="9"/>
    </row>
    <row r="338" spans="1:9" x14ac:dyDescent="0.25">
      <c r="A338" s="9"/>
      <c r="B338" s="9"/>
      <c r="C338" s="9"/>
      <c r="D338" s="9"/>
      <c r="E338" s="9"/>
      <c r="F338" s="9"/>
      <c r="G338" s="9"/>
      <c r="H338" s="9"/>
      <c r="I338" s="9"/>
    </row>
    <row r="339" spans="1:9" x14ac:dyDescent="0.25">
      <c r="A339" s="9"/>
      <c r="B339" s="9"/>
      <c r="C339" s="9"/>
      <c r="D339" s="9"/>
      <c r="E339" s="9"/>
      <c r="F339" s="9"/>
      <c r="G339" s="9"/>
      <c r="H339" s="9"/>
      <c r="I339" s="9"/>
    </row>
    <row r="340" spans="1:9" x14ac:dyDescent="0.25">
      <c r="A340" s="9"/>
      <c r="B340" s="9"/>
      <c r="C340" s="9"/>
      <c r="D340" s="9"/>
      <c r="E340" s="9"/>
      <c r="F340" s="9"/>
      <c r="G340" s="9"/>
      <c r="H340" s="9"/>
      <c r="I340" s="9"/>
    </row>
    <row r="341" spans="1:9" x14ac:dyDescent="0.25">
      <c r="A341" s="9"/>
      <c r="B341" s="10">
        <f>B249</f>
        <v>41.849999999999994</v>
      </c>
      <c r="C341" s="10">
        <f>C249</f>
        <v>2.6999999999999997</v>
      </c>
      <c r="D341" s="10">
        <v>0</v>
      </c>
      <c r="E341" s="9"/>
      <c r="F341" s="9"/>
      <c r="G341" s="10">
        <f>D341</f>
        <v>0</v>
      </c>
      <c r="H341" s="10">
        <f>C341</f>
        <v>2.6999999999999997</v>
      </c>
      <c r="I341" s="10">
        <f>B341</f>
        <v>41.849999999999994</v>
      </c>
    </row>
    <row r="342" spans="1:9" x14ac:dyDescent="0.25">
      <c r="A342" s="9"/>
      <c r="B342" s="9"/>
      <c r="C342" s="9"/>
      <c r="D342" s="10">
        <f>H235</f>
        <v>40</v>
      </c>
      <c r="E342" s="21">
        <f>E250</f>
        <v>84.012679991403388</v>
      </c>
      <c r="F342" s="11">
        <f>H235</f>
        <v>40</v>
      </c>
      <c r="G342" s="9"/>
      <c r="H342" s="9"/>
      <c r="I342" s="9"/>
    </row>
    <row r="343" spans="1:9" x14ac:dyDescent="0.25">
      <c r="A343" s="9"/>
      <c r="B343" s="9"/>
      <c r="C343" s="9"/>
      <c r="D343" s="9"/>
      <c r="E343" s="9"/>
      <c r="F343" s="21"/>
      <c r="G343" s="9"/>
      <c r="H343" s="9"/>
      <c r="I343" s="9"/>
    </row>
    <row r="344" spans="1:9" x14ac:dyDescent="0.25">
      <c r="A344" s="9"/>
      <c r="B344" s="9"/>
      <c r="C344" s="9"/>
      <c r="D344" s="9"/>
      <c r="E344" s="9"/>
      <c r="F344" s="21"/>
      <c r="G344" s="9"/>
      <c r="H344" s="9"/>
      <c r="I344" s="9"/>
    </row>
    <row r="345" spans="1:9" x14ac:dyDescent="0.25">
      <c r="A345" s="9"/>
      <c r="B345" s="9"/>
      <c r="C345" s="9"/>
      <c r="D345" s="9"/>
      <c r="E345" s="9"/>
      <c r="F345" s="21"/>
      <c r="G345" s="9"/>
      <c r="H345" s="9"/>
      <c r="I345" s="9"/>
    </row>
    <row r="346" spans="1:9" x14ac:dyDescent="0.25">
      <c r="A346" s="9"/>
      <c r="B346" s="9"/>
      <c r="C346" s="9"/>
      <c r="D346" s="9"/>
      <c r="E346" s="9"/>
      <c r="F346" s="21"/>
      <c r="G346" s="9"/>
      <c r="H346" s="9"/>
      <c r="I346" s="9"/>
    </row>
    <row r="347" spans="1:9" x14ac:dyDescent="0.25">
      <c r="A347" s="9"/>
      <c r="B347" s="9"/>
      <c r="C347" s="9"/>
      <c r="D347" s="9"/>
      <c r="E347" s="9"/>
      <c r="F347" s="21"/>
      <c r="G347" s="9"/>
      <c r="H347" s="9"/>
      <c r="I347" s="9"/>
    </row>
    <row r="348" spans="1:9" x14ac:dyDescent="0.25">
      <c r="A348" s="9"/>
      <c r="B348" s="9"/>
      <c r="C348" s="9"/>
      <c r="D348" s="9"/>
      <c r="E348" s="9"/>
      <c r="F348" s="21"/>
      <c r="G348" s="9"/>
      <c r="H348" s="9"/>
      <c r="I348" s="9"/>
    </row>
    <row r="349" spans="1:9" x14ac:dyDescent="0.25">
      <c r="A349" s="9"/>
      <c r="B349" s="9"/>
      <c r="C349" s="9"/>
      <c r="D349" s="9"/>
      <c r="E349" s="9"/>
      <c r="F349" s="21"/>
      <c r="G349" s="9"/>
      <c r="H349" s="9"/>
      <c r="I349" s="9"/>
    </row>
    <row r="350" spans="1:9" x14ac:dyDescent="0.25">
      <c r="A350" s="9"/>
      <c r="B350" s="9"/>
      <c r="C350" s="9"/>
      <c r="D350" s="9"/>
      <c r="E350" s="9"/>
      <c r="F350" s="21"/>
      <c r="G350" s="9"/>
      <c r="H350" s="9"/>
      <c r="I350" s="9"/>
    </row>
    <row r="351" spans="1:9" x14ac:dyDescent="0.25">
      <c r="A351" s="9"/>
      <c r="B351" s="9"/>
      <c r="C351" s="9"/>
      <c r="D351" s="9"/>
      <c r="E351" s="9"/>
      <c r="F351" s="21"/>
      <c r="G351" s="9"/>
      <c r="H351" s="9"/>
      <c r="I351" s="9"/>
    </row>
    <row r="352" spans="1:9" x14ac:dyDescent="0.25">
      <c r="A352" s="9"/>
      <c r="B352" s="9"/>
      <c r="C352" s="9"/>
      <c r="D352" s="9"/>
      <c r="E352" s="9"/>
      <c r="F352" s="21"/>
      <c r="G352" s="9"/>
      <c r="H352" s="9"/>
      <c r="I352" s="9"/>
    </row>
    <row r="353" spans="1:9" x14ac:dyDescent="0.25">
      <c r="A353" s="9"/>
      <c r="B353" s="9"/>
      <c r="C353" s="9"/>
      <c r="D353" s="9"/>
      <c r="E353" s="9"/>
      <c r="F353" s="21"/>
      <c r="G353" s="9"/>
      <c r="H353" s="9"/>
      <c r="I353" s="9"/>
    </row>
    <row r="354" spans="1:9" x14ac:dyDescent="0.25">
      <c r="A354" s="9"/>
      <c r="B354" s="9"/>
      <c r="C354" s="9"/>
      <c r="D354" s="9"/>
      <c r="E354" s="9"/>
      <c r="F354" s="21"/>
      <c r="G354" s="9"/>
      <c r="H354" s="9"/>
      <c r="I354" s="9"/>
    </row>
    <row r="355" spans="1:9" x14ac:dyDescent="0.25">
      <c r="A355" s="9"/>
      <c r="B355" s="9"/>
      <c r="C355" s="9"/>
      <c r="D355" s="9"/>
      <c r="E355" s="9"/>
      <c r="F355" s="21"/>
      <c r="G355" s="9"/>
      <c r="H355" s="9"/>
      <c r="I355" s="9"/>
    </row>
    <row r="356" spans="1:9" x14ac:dyDescent="0.25">
      <c r="A356" s="9"/>
      <c r="B356" s="9"/>
      <c r="C356" s="9"/>
      <c r="D356" s="9"/>
      <c r="E356" s="9"/>
      <c r="F356" s="21"/>
      <c r="G356" s="9"/>
      <c r="H356" s="9"/>
      <c r="I356" s="9"/>
    </row>
    <row r="357" spans="1:9" x14ac:dyDescent="0.25">
      <c r="A357" s="9"/>
      <c r="B357" s="9"/>
      <c r="C357" s="9"/>
      <c r="D357" s="9"/>
      <c r="E357" s="9"/>
      <c r="F357" s="21"/>
      <c r="G357" s="9"/>
      <c r="H357" s="9"/>
      <c r="I357" s="9"/>
    </row>
    <row r="358" spans="1:9" x14ac:dyDescent="0.25">
      <c r="A358" s="9"/>
      <c r="B358" s="9"/>
      <c r="C358" s="9"/>
      <c r="D358" s="9"/>
      <c r="E358" s="9"/>
      <c r="F358" s="21"/>
      <c r="G358" s="9"/>
      <c r="H358" s="9"/>
      <c r="I358" s="9"/>
    </row>
    <row r="359" spans="1:9" x14ac:dyDescent="0.25">
      <c r="A359" s="9"/>
      <c r="B359" s="9"/>
      <c r="C359" s="9"/>
      <c r="D359" s="9"/>
      <c r="E359" s="9"/>
      <c r="F359" s="21"/>
      <c r="G359" s="9"/>
      <c r="H359" s="9"/>
      <c r="I359" s="9"/>
    </row>
    <row r="360" spans="1:9" x14ac:dyDescent="0.25">
      <c r="A360" s="9"/>
      <c r="B360" s="9"/>
      <c r="C360" s="9"/>
      <c r="D360" s="9"/>
      <c r="E360" s="9"/>
      <c r="F360" s="21"/>
      <c r="G360" s="9"/>
      <c r="H360" s="9"/>
      <c r="I360" s="9"/>
    </row>
    <row r="361" spans="1:9" x14ac:dyDescent="0.25">
      <c r="A361" s="9"/>
      <c r="B361" s="9"/>
      <c r="C361" s="9"/>
      <c r="D361" s="9"/>
      <c r="E361" s="9"/>
      <c r="F361" s="21"/>
      <c r="G361" s="9"/>
      <c r="H361" s="9"/>
      <c r="I361" s="9"/>
    </row>
    <row r="362" spans="1:9" x14ac:dyDescent="0.25">
      <c r="A362" s="9"/>
      <c r="B362" s="9"/>
      <c r="C362" s="9"/>
      <c r="D362" s="9"/>
      <c r="E362" s="9"/>
      <c r="F362" s="21"/>
      <c r="G362" s="9"/>
      <c r="H362" s="9"/>
      <c r="I362" s="9"/>
    </row>
    <row r="363" spans="1:9" x14ac:dyDescent="0.25">
      <c r="A363" s="9"/>
      <c r="B363" s="9"/>
      <c r="C363" s="9"/>
      <c r="D363" s="9"/>
      <c r="E363" s="9"/>
      <c r="F363" s="21"/>
      <c r="G363" s="9"/>
      <c r="H363" s="9"/>
      <c r="I363" s="9"/>
    </row>
    <row r="364" spans="1:9" x14ac:dyDescent="0.25">
      <c r="A364" s="9"/>
      <c r="B364" s="9"/>
      <c r="C364" s="9"/>
      <c r="D364" s="9"/>
      <c r="E364" s="9"/>
      <c r="F364" s="21"/>
      <c r="G364" s="9"/>
      <c r="H364" s="9"/>
      <c r="I364" s="9"/>
    </row>
    <row r="365" spans="1:9" x14ac:dyDescent="0.25">
      <c r="A365" s="9"/>
      <c r="B365" s="9"/>
      <c r="C365" s="9"/>
      <c r="D365" s="9"/>
      <c r="E365" s="9"/>
      <c r="F365" s="21"/>
      <c r="G365" s="9"/>
      <c r="H365" s="9"/>
      <c r="I365" s="9"/>
    </row>
    <row r="366" spans="1:9" x14ac:dyDescent="0.25">
      <c r="A366" s="9"/>
      <c r="B366" s="9"/>
      <c r="C366" s="9"/>
      <c r="D366" s="9"/>
      <c r="E366" s="9"/>
      <c r="F366" s="21"/>
      <c r="G366" s="9"/>
      <c r="H366" s="9"/>
      <c r="I366" s="9"/>
    </row>
    <row r="367" spans="1:9" x14ac:dyDescent="0.25">
      <c r="A367" s="9"/>
      <c r="B367" s="9"/>
      <c r="C367" s="9"/>
      <c r="D367" s="9"/>
      <c r="E367" s="9"/>
      <c r="F367" s="21"/>
      <c r="G367" s="9"/>
      <c r="H367" s="9"/>
      <c r="I367" s="9"/>
    </row>
    <row r="368" spans="1:9" x14ac:dyDescent="0.25">
      <c r="A368" s="9"/>
      <c r="B368" s="9"/>
      <c r="C368" s="9"/>
      <c r="D368" s="9"/>
      <c r="E368" s="9"/>
      <c r="F368" s="21"/>
      <c r="G368" s="9"/>
      <c r="H368" s="9"/>
      <c r="I368" s="9"/>
    </row>
    <row r="369" spans="1:9" x14ac:dyDescent="0.25">
      <c r="A369" s="9"/>
      <c r="B369" s="9"/>
      <c r="C369" s="9"/>
      <c r="D369" s="9"/>
      <c r="E369" s="9"/>
      <c r="F369" s="21"/>
      <c r="G369" s="9"/>
      <c r="H369" s="9"/>
      <c r="I369" s="9"/>
    </row>
    <row r="370" spans="1:9" x14ac:dyDescent="0.25">
      <c r="A370" s="9"/>
      <c r="B370" s="9"/>
      <c r="C370" s="9"/>
      <c r="D370" s="9"/>
      <c r="E370" s="9"/>
      <c r="F370" s="21"/>
      <c r="G370" s="9"/>
      <c r="H370" s="9"/>
      <c r="I370" s="9"/>
    </row>
    <row r="371" spans="1:9" x14ac:dyDescent="0.25">
      <c r="A371" s="9"/>
      <c r="B371" s="9"/>
      <c r="C371" s="9"/>
      <c r="D371" s="9"/>
      <c r="E371" s="9"/>
      <c r="F371" s="21"/>
      <c r="G371" s="9"/>
      <c r="H371" s="9"/>
      <c r="I371" s="9"/>
    </row>
    <row r="372" spans="1:9" x14ac:dyDescent="0.25">
      <c r="A372" s="9"/>
      <c r="B372" s="9" t="s">
        <v>36</v>
      </c>
      <c r="C372" s="9"/>
      <c r="D372" s="9"/>
      <c r="E372" s="9"/>
      <c r="F372" s="9"/>
      <c r="G372" s="9"/>
      <c r="H372" s="9"/>
      <c r="I372" s="9"/>
    </row>
    <row r="373" spans="1:9" x14ac:dyDescent="0.25">
      <c r="A373" s="9"/>
      <c r="B373" s="9" t="s">
        <v>37</v>
      </c>
      <c r="C373" s="9" t="s">
        <v>16</v>
      </c>
      <c r="D373" s="27">
        <f>(D341+C341)*C161*C161/12+ABS((D342-B341))*C161*C161/20</f>
        <v>6.8651437499999926</v>
      </c>
      <c r="E373" s="9" t="s">
        <v>58</v>
      </c>
      <c r="F373" s="9" t="s">
        <v>41</v>
      </c>
      <c r="G373" s="9" t="s">
        <v>16</v>
      </c>
      <c r="H373" s="27">
        <f>(G341+H341)*C161*C161/12+ABS((F342-I341))*C161*C161/30</f>
        <v>6.198449999999994</v>
      </c>
      <c r="I373" s="9" t="s">
        <v>58</v>
      </c>
    </row>
    <row r="374" spans="1:9" x14ac:dyDescent="0.25">
      <c r="A374" s="9"/>
      <c r="B374" s="9" t="s">
        <v>38</v>
      </c>
      <c r="C374" s="9" t="s">
        <v>16</v>
      </c>
      <c r="D374" s="27">
        <f>-((D341+C341)*C161*C161/12+ABS((D342-B341))*C161*C161/30)</f>
        <v>-6.198449999999994</v>
      </c>
      <c r="E374" s="9" t="s">
        <v>58</v>
      </c>
      <c r="F374" s="9" t="s">
        <v>42</v>
      </c>
      <c r="G374" s="9" t="s">
        <v>16</v>
      </c>
      <c r="H374" s="27">
        <f>-((G341+H341)*C161*C161/12+ABS((F342-I341))*C161*C161/30)</f>
        <v>-6.198449999999994</v>
      </c>
      <c r="I374" s="9" t="s">
        <v>58</v>
      </c>
    </row>
    <row r="375" spans="1:9" x14ac:dyDescent="0.25">
      <c r="A375" s="9"/>
      <c r="B375" s="9" t="s">
        <v>39</v>
      </c>
      <c r="C375" s="9" t="s">
        <v>16</v>
      </c>
      <c r="D375" s="27">
        <f>E330*H98*H98/12</f>
        <v>289.55003546099289</v>
      </c>
      <c r="E375" s="9" t="s">
        <v>58</v>
      </c>
      <c r="F375" s="9" t="s">
        <v>43</v>
      </c>
      <c r="G375" s="9" t="s">
        <v>16</v>
      </c>
      <c r="H375" s="27">
        <f>E342*H98*H98/12</f>
        <v>304.9660283687943</v>
      </c>
      <c r="I375" s="9" t="s">
        <v>58</v>
      </c>
    </row>
    <row r="376" spans="1:9" x14ac:dyDescent="0.25">
      <c r="A376" s="9"/>
      <c r="B376" s="9" t="s">
        <v>40</v>
      </c>
      <c r="C376" s="9" t="s">
        <v>16</v>
      </c>
      <c r="D376" s="27">
        <f>-E330*H98*H98/12</f>
        <v>-289.55003546099289</v>
      </c>
      <c r="E376" s="9" t="s">
        <v>58</v>
      </c>
      <c r="F376" s="9" t="s">
        <v>44</v>
      </c>
      <c r="G376" s="9" t="s">
        <v>16</v>
      </c>
      <c r="H376" s="27">
        <f>-E342*H98*H98/12</f>
        <v>-304.9660283687943</v>
      </c>
      <c r="I376" s="9" t="s">
        <v>58</v>
      </c>
    </row>
    <row r="377" spans="1:9" x14ac:dyDescent="0.25">
      <c r="A377" s="9"/>
      <c r="B377" s="9"/>
      <c r="C377" s="9"/>
      <c r="D377" s="9"/>
      <c r="E377" s="27"/>
      <c r="F377" s="9"/>
      <c r="G377" s="9"/>
      <c r="H377" s="9"/>
      <c r="I377" s="27"/>
    </row>
    <row r="378" spans="1:9" x14ac:dyDescent="0.25">
      <c r="A378" s="9"/>
      <c r="B378" s="9" t="s">
        <v>45</v>
      </c>
      <c r="C378" s="9"/>
      <c r="D378" s="9"/>
      <c r="E378" s="9"/>
      <c r="F378" s="9"/>
      <c r="G378" s="9"/>
      <c r="H378" s="9"/>
      <c r="I378" s="9"/>
    </row>
    <row r="379" spans="1:9" x14ac:dyDescent="0.25">
      <c r="A379" s="9"/>
      <c r="B379" s="9"/>
      <c r="C379" s="9"/>
      <c r="D379" s="9"/>
      <c r="E379" s="9" t="s">
        <v>47</v>
      </c>
      <c r="F379" s="9"/>
      <c r="G379" s="9"/>
      <c r="H379" s="9"/>
      <c r="I379" s="9"/>
    </row>
    <row r="380" spans="1:9" x14ac:dyDescent="0.25">
      <c r="A380" s="9"/>
      <c r="B380" s="9"/>
      <c r="C380" s="9"/>
      <c r="D380" s="9"/>
      <c r="E380" s="9">
        <f>E330*H98*H98/8</f>
        <v>434.3250531914893</v>
      </c>
      <c r="F380" s="9" t="s">
        <v>58</v>
      </c>
      <c r="G380" s="9"/>
      <c r="H380" s="9"/>
      <c r="I380" s="9"/>
    </row>
    <row r="381" spans="1:9" ht="15.75" thickBot="1" x14ac:dyDescent="0.3">
      <c r="A381" s="9"/>
      <c r="B381" s="9"/>
      <c r="C381" s="9"/>
      <c r="D381" s="9"/>
      <c r="E381" s="9"/>
      <c r="F381" s="9"/>
      <c r="G381" s="9"/>
      <c r="H381" s="9"/>
      <c r="I381" s="9"/>
    </row>
    <row r="382" spans="1:9" x14ac:dyDescent="0.25">
      <c r="A382" s="9"/>
      <c r="B382" s="28">
        <f>B290</f>
        <v>0.58666666666666667</v>
      </c>
      <c r="C382" s="29">
        <f>C290</f>
        <v>0.41333333333333333</v>
      </c>
      <c r="D382" s="9"/>
      <c r="E382" s="9"/>
      <c r="F382" s="9"/>
      <c r="G382" s="9"/>
      <c r="H382" s="55">
        <f>H290</f>
        <v>0.41333333333333333</v>
      </c>
      <c r="I382" s="31">
        <f>I290</f>
        <v>0.58666666666666667</v>
      </c>
    </row>
    <row r="383" spans="1:9" x14ac:dyDescent="0.25">
      <c r="A383" s="9"/>
      <c r="B383" s="32">
        <f>D374</f>
        <v>-6.198449999999994</v>
      </c>
      <c r="C383" s="33">
        <f>D375</f>
        <v>289.55003546099289</v>
      </c>
      <c r="D383" s="9"/>
      <c r="E383" s="9"/>
      <c r="F383" s="9"/>
      <c r="G383" s="9"/>
      <c r="H383" s="34">
        <f>D376</f>
        <v>-289.55003546099289</v>
      </c>
      <c r="I383" s="35">
        <f>H373</f>
        <v>6.198449999999994</v>
      </c>
    </row>
    <row r="384" spans="1:9" x14ac:dyDescent="0.25">
      <c r="A384" s="9"/>
      <c r="B384" s="36">
        <f>-(C383+B383)*B382</f>
        <v>-166.23293013711583</v>
      </c>
      <c r="C384" s="37">
        <f>-(C383+B383)*C382</f>
        <v>-117.11865532387706</v>
      </c>
      <c r="D384" s="9"/>
      <c r="E384" s="9"/>
      <c r="F384" s="9"/>
      <c r="G384" s="9"/>
      <c r="H384" s="38">
        <f>-(H383+I383)*H382</f>
        <v>117.11865532387706</v>
      </c>
      <c r="I384" s="39">
        <f>-(H383+I383)*I382</f>
        <v>166.23293013711583</v>
      </c>
    </row>
    <row r="385" spans="1:9" x14ac:dyDescent="0.25">
      <c r="A385" s="9"/>
      <c r="B385" s="36">
        <f>B403/2</f>
        <v>70.346893961787288</v>
      </c>
      <c r="C385" s="37">
        <f>H384/2</f>
        <v>58.559327661938532</v>
      </c>
      <c r="D385" s="9"/>
      <c r="E385" s="9"/>
      <c r="F385" s="9"/>
      <c r="G385" s="9"/>
      <c r="H385" s="38">
        <f>C384/2</f>
        <v>-58.559327661938532</v>
      </c>
      <c r="I385" s="39">
        <f>I403/2</f>
        <v>-70.504222694965023</v>
      </c>
    </row>
    <row r="386" spans="1:9" ht="15" customHeight="1" x14ac:dyDescent="0.25">
      <c r="A386" s="9"/>
      <c r="B386" s="36">
        <f>-(B385+C385)*B382</f>
        <v>-75.624983352585815</v>
      </c>
      <c r="C386" s="37">
        <f>-(C385+B385)*C382</f>
        <v>-53.281238271140005</v>
      </c>
      <c r="D386" s="165">
        <f>(D341+C341)*H100*H100/8+(ABS(-B341+D342)*H100*H100/16)</f>
        <v>9.7976953124999895</v>
      </c>
      <c r="E386" s="9"/>
      <c r="F386" s="9"/>
      <c r="G386" s="166">
        <f>(D341+C341)*H100*H100/8+(ABS(-B341+D342)*H100*H100/16)</f>
        <v>9.7976953124999895</v>
      </c>
      <c r="H386" s="38">
        <f>-(H385+I385)*H382</f>
        <v>53.34626748085347</v>
      </c>
      <c r="I386" s="39">
        <f>-(I385+H385)*I382</f>
        <v>75.717282876050092</v>
      </c>
    </row>
    <row r="387" spans="1:9" x14ac:dyDescent="0.25">
      <c r="A387" s="9"/>
      <c r="B387" s="36">
        <f>B405/2</f>
        <v>38.228392608808107</v>
      </c>
      <c r="C387" s="37">
        <f>H386/2</f>
        <v>26.673133740426735</v>
      </c>
      <c r="D387" s="165"/>
      <c r="E387" s="9"/>
      <c r="F387" s="9"/>
      <c r="G387" s="166"/>
      <c r="H387" s="38">
        <f>C386/2</f>
        <v>-26.640619135570002</v>
      </c>
      <c r="I387" s="39">
        <f>I405/2</f>
        <v>-38.186855229360354</v>
      </c>
    </row>
    <row r="388" spans="1:9" x14ac:dyDescent="0.25">
      <c r="A388" s="9"/>
      <c r="B388" s="36">
        <f>-(B387+C387)*B382</f>
        <v>-38.075562124884442</v>
      </c>
      <c r="C388" s="37">
        <f>-(B387+C387)*C382</f>
        <v>-26.8259642243504</v>
      </c>
      <c r="D388" s="165"/>
      <c r="E388" s="23"/>
      <c r="F388" s="9"/>
      <c r="G388" s="166"/>
      <c r="H388" s="38">
        <f>-(H387+I387)*H382</f>
        <v>26.79535607083788</v>
      </c>
      <c r="I388" s="39">
        <f>-(H387+I387)*I382</f>
        <v>38.032118294092477</v>
      </c>
    </row>
    <row r="389" spans="1:9" x14ac:dyDescent="0.25">
      <c r="A389" s="9"/>
      <c r="B389" s="36">
        <f>B407/2</f>
        <v>19.005083988311977</v>
      </c>
      <c r="C389" s="37">
        <f>H388/2</f>
        <v>13.39767803541894</v>
      </c>
      <c r="D389" s="165"/>
      <c r="E389" s="9"/>
      <c r="F389" s="9"/>
      <c r="G389" s="166"/>
      <c r="H389" s="38">
        <f>C388/2</f>
        <v>-13.4129821121752</v>
      </c>
      <c r="I389" s="39">
        <f>I407/2</f>
        <v>-19.026941124210325</v>
      </c>
    </row>
    <row r="390" spans="1:9" x14ac:dyDescent="0.25">
      <c r="A390" s="9"/>
      <c r="B390" s="36">
        <f>-(B389+C389)*B382</f>
        <v>-19.00962038725547</v>
      </c>
      <c r="C390" s="37">
        <f>-(B389+C389)*C382</f>
        <v>-13.393141636475445</v>
      </c>
      <c r="D390" s="165"/>
      <c r="E390" s="9"/>
      <c r="F390" s="9"/>
      <c r="G390" s="166"/>
      <c r="H390" s="38">
        <f>-(H389+I389)*H382</f>
        <v>13.408501604372683</v>
      </c>
      <c r="I390" s="39">
        <f>-(H389+I389)*I382</f>
        <v>19.03142163201284</v>
      </c>
    </row>
    <row r="391" spans="1:9" x14ac:dyDescent="0.25">
      <c r="A391" s="9"/>
      <c r="B391" s="36">
        <f>B409/2</f>
        <v>9.5160286088091386</v>
      </c>
      <c r="C391" s="37">
        <f>H390/2</f>
        <v>6.7042508021863414</v>
      </c>
      <c r="D391" s="165"/>
      <c r="E391" s="9"/>
      <c r="F391" s="9"/>
      <c r="G391" s="166"/>
      <c r="H391" s="38">
        <f>C390/2</f>
        <v>-6.6965708182377224</v>
      </c>
      <c r="I391" s="39">
        <f>I409/2</f>
        <v>-9.505131950669135</v>
      </c>
    </row>
    <row r="392" spans="1:9" x14ac:dyDescent="0.25">
      <c r="A392" s="9"/>
      <c r="B392" s="36">
        <f>-(B391+C391)*B382</f>
        <v>-9.5158972544506817</v>
      </c>
      <c r="C392" s="37">
        <f>-(C391+B391)*C382</f>
        <v>-6.7043821565447983</v>
      </c>
      <c r="D392" s="165"/>
      <c r="E392" s="9"/>
      <c r="F392" s="9"/>
      <c r="G392" s="166"/>
      <c r="H392" s="38">
        <f>-(H391+I391)*H382</f>
        <v>6.6967038111481667</v>
      </c>
      <c r="I392" s="39">
        <f>-(H391+I391)*I382</f>
        <v>9.5049989577586889</v>
      </c>
    </row>
    <row r="393" spans="1:9" x14ac:dyDescent="0.25">
      <c r="A393" s="9"/>
      <c r="B393" s="36">
        <f>B411/2</f>
        <v>4.752490045977626</v>
      </c>
      <c r="C393" s="37">
        <f>H392/2</f>
        <v>3.3483519055740834</v>
      </c>
      <c r="D393" s="165"/>
      <c r="E393" s="9"/>
      <c r="F393" s="9"/>
      <c r="G393" s="166"/>
      <c r="H393" s="38">
        <f>C392/2</f>
        <v>-3.3521910782723991</v>
      </c>
      <c r="I393" s="39">
        <f>I411/2</f>
        <v>-4.7579393105425973</v>
      </c>
    </row>
    <row r="394" spans="1:9" x14ac:dyDescent="0.25">
      <c r="A394" s="9"/>
      <c r="B394" s="36">
        <f>-(B393+C393)*B382</f>
        <v>-4.7524939449103361</v>
      </c>
      <c r="C394" s="37">
        <f>-(C393+B393)*C382</f>
        <v>-3.3483480066413733</v>
      </c>
      <c r="D394" s="165"/>
      <c r="E394" s="9"/>
      <c r="F394" s="9"/>
      <c r="G394" s="166"/>
      <c r="H394" s="38">
        <f>-(H393+I393)*H382</f>
        <v>3.3521872273768651</v>
      </c>
      <c r="I394" s="39">
        <f>-(I393+H393)*I382</f>
        <v>4.7579431614381313</v>
      </c>
    </row>
    <row r="395" spans="1:9" x14ac:dyDescent="0.25">
      <c r="A395" s="9"/>
      <c r="B395" s="36">
        <f>B413/2</f>
        <v>2.3789718538548215</v>
      </c>
      <c r="C395" s="37">
        <f>H394/2</f>
        <v>1.6760936136884326</v>
      </c>
      <c r="D395" s="9"/>
      <c r="E395" s="9"/>
      <c r="F395" s="9"/>
      <c r="G395" s="9"/>
      <c r="H395" s="38">
        <f>C394/2</f>
        <v>-1.6741740033206867</v>
      </c>
      <c r="I395" s="39">
        <f>I413/2</f>
        <v>-2.3762472489980979</v>
      </c>
    </row>
    <row r="396" spans="1:9" ht="15.75" thickBot="1" x14ac:dyDescent="0.3">
      <c r="A396" s="9"/>
      <c r="B396" s="15">
        <f>-(B395+C395)*B382</f>
        <v>-2.378971740958709</v>
      </c>
      <c r="C396" s="40">
        <f>-(B395+C395)*C382</f>
        <v>-1.6760937265845448</v>
      </c>
      <c r="D396" s="9"/>
      <c r="E396" s="9"/>
      <c r="F396" s="9"/>
      <c r="G396" s="9"/>
      <c r="H396" s="41">
        <f>-(H395+I395)*H382</f>
        <v>1.6741741176250977</v>
      </c>
      <c r="I396" s="13">
        <f>-(H395+I395)*I382</f>
        <v>2.3762471346936871</v>
      </c>
    </row>
    <row r="397" spans="1:9" ht="15.75" thickBot="1" x14ac:dyDescent="0.3">
      <c r="A397" s="9"/>
      <c r="B397" s="56">
        <f>SUM(B383:B396)</f>
        <v>-177.56104787461231</v>
      </c>
      <c r="C397" s="57">
        <f>SUM(C383:C396)</f>
        <v>177.56104787461234</v>
      </c>
      <c r="D397" s="9"/>
      <c r="E397" s="9"/>
      <c r="F397" s="9"/>
      <c r="G397" s="9"/>
      <c r="H397" s="58">
        <f>SUM(H383:H396)</f>
        <v>-177.49405463441624</v>
      </c>
      <c r="I397" s="59">
        <f>SUM(I383:I396)</f>
        <v>177.49405463441616</v>
      </c>
    </row>
    <row r="398" spans="1:9" x14ac:dyDescent="0.25">
      <c r="A398" s="9"/>
      <c r="B398" s="9"/>
      <c r="C398" s="9"/>
      <c r="D398" s="9"/>
      <c r="E398" s="9"/>
      <c r="F398" s="9"/>
      <c r="G398" s="9"/>
      <c r="H398" s="9"/>
      <c r="I398" s="9"/>
    </row>
    <row r="399" spans="1:9" x14ac:dyDescent="0.25">
      <c r="A399" s="9"/>
      <c r="B399" s="9"/>
      <c r="C399" s="9"/>
      <c r="D399" s="9"/>
      <c r="E399" s="9"/>
      <c r="F399" s="9"/>
      <c r="G399" s="9"/>
      <c r="H399" s="9"/>
      <c r="I399" s="9"/>
    </row>
    <row r="400" spans="1:9" ht="15.75" thickBot="1" x14ac:dyDescent="0.3">
      <c r="A400" s="9"/>
      <c r="B400" s="9"/>
      <c r="C400" s="9"/>
      <c r="D400" s="9"/>
      <c r="E400" s="9"/>
      <c r="F400" s="9"/>
      <c r="G400" s="9"/>
      <c r="H400" s="9"/>
      <c r="I400" s="9"/>
    </row>
    <row r="401" spans="1:9" x14ac:dyDescent="0.25">
      <c r="A401" s="9"/>
      <c r="B401" s="28">
        <f>B309</f>
        <v>0.47196702587277156</v>
      </c>
      <c r="C401" s="29">
        <f>C309</f>
        <v>0.52803297412722849</v>
      </c>
      <c r="D401" s="9"/>
      <c r="E401" s="9"/>
      <c r="F401" s="9"/>
      <c r="G401" s="9"/>
      <c r="H401" s="30">
        <f>H309</f>
        <v>0.52803297412722849</v>
      </c>
      <c r="I401" s="31">
        <f>I309</f>
        <v>0.47196702587277156</v>
      </c>
    </row>
    <row r="402" spans="1:9" x14ac:dyDescent="0.25">
      <c r="A402" s="9"/>
      <c r="B402" s="32">
        <f>D373</f>
        <v>6.8651437499999926</v>
      </c>
      <c r="C402" s="33">
        <f>H376</f>
        <v>-304.9660283687943</v>
      </c>
      <c r="D402" s="9"/>
      <c r="E402" s="10" t="s">
        <v>46</v>
      </c>
      <c r="F402" s="9"/>
      <c r="G402" s="9"/>
      <c r="H402" s="34">
        <f>H375</f>
        <v>304.9660283687943</v>
      </c>
      <c r="I402" s="35">
        <f>H374</f>
        <v>-6.198449999999994</v>
      </c>
    </row>
    <row r="403" spans="1:9" x14ac:dyDescent="0.25">
      <c r="A403" s="9"/>
      <c r="B403" s="36">
        <f>-(B402+C402)*B401</f>
        <v>140.69378792357458</v>
      </c>
      <c r="C403" s="46">
        <f>-(C402+B402)*C401</f>
        <v>157.40709669521974</v>
      </c>
      <c r="D403" s="9"/>
      <c r="E403" s="9">
        <f>E342*H98*H98/8</f>
        <v>457.44904255319142</v>
      </c>
      <c r="F403" s="9" t="s">
        <v>58</v>
      </c>
      <c r="G403" s="9"/>
      <c r="H403" s="38">
        <f>-(H402+I402)*H401</f>
        <v>-157.75913297886427</v>
      </c>
      <c r="I403" s="39">
        <f>-(I402+H402)*I401</f>
        <v>-141.00844538993005</v>
      </c>
    </row>
    <row r="404" spans="1:9" x14ac:dyDescent="0.25">
      <c r="A404" s="9"/>
      <c r="B404" s="36">
        <f>B384/2</f>
        <v>-83.116465068557915</v>
      </c>
      <c r="C404" s="37">
        <f>H403/2</f>
        <v>-78.879566489432136</v>
      </c>
      <c r="D404" s="9"/>
      <c r="E404" s="9"/>
      <c r="F404" s="9"/>
      <c r="G404" s="9"/>
      <c r="H404" s="38">
        <f>C403/2</f>
        <v>78.703548347609868</v>
      </c>
      <c r="I404" s="39">
        <f>I384/2</f>
        <v>83.116465068557915</v>
      </c>
    </row>
    <row r="405" spans="1:9" x14ac:dyDescent="0.25">
      <c r="A405" s="9"/>
      <c r="B405" s="36">
        <f>-(B404+C404)*B401</f>
        <v>76.456785217616215</v>
      </c>
      <c r="C405" s="37">
        <f>-(B404+C404)*C401</f>
        <v>85.53924634037385</v>
      </c>
      <c r="D405" s="9"/>
      <c r="E405" s="9"/>
      <c r="F405" s="9"/>
      <c r="G405" s="9"/>
      <c r="H405" s="38">
        <f>-(H404+I404)*H401</f>
        <v>-85.446302957447102</v>
      </c>
      <c r="I405" s="39">
        <f>-(I404+H404)*I401</f>
        <v>-76.373710458720709</v>
      </c>
    </row>
    <row r="406" spans="1:9" x14ac:dyDescent="0.25">
      <c r="A406" s="9"/>
      <c r="B406" s="36">
        <f>B386/2</f>
        <v>-37.812491676292908</v>
      </c>
      <c r="C406" s="37">
        <f>H405/2</f>
        <v>-42.723151478723551</v>
      </c>
      <c r="D406" s="9"/>
      <c r="E406" s="9"/>
      <c r="F406" s="9"/>
      <c r="G406" s="9"/>
      <c r="H406" s="38">
        <f>C405/2</f>
        <v>42.769623170186925</v>
      </c>
      <c r="I406" s="39">
        <f>I386/2</f>
        <v>37.858641438025046</v>
      </c>
    </row>
    <row r="407" spans="1:9" x14ac:dyDescent="0.25">
      <c r="A407" s="9"/>
      <c r="B407" s="36">
        <f>-(B406+C406)*B401</f>
        <v>38.010167976623954</v>
      </c>
      <c r="C407" s="37">
        <f>-(B406+C406)*C401</f>
        <v>42.525475178392512</v>
      </c>
      <c r="D407" s="9"/>
      <c r="E407" s="9"/>
      <c r="F407" s="9"/>
      <c r="G407" s="9"/>
      <c r="H407" s="38">
        <f>-(H406+I406)*H401</f>
        <v>-42.574382359791322</v>
      </c>
      <c r="I407" s="39">
        <f>-(H406+I406)*I401</f>
        <v>-38.053882248420649</v>
      </c>
    </row>
    <row r="408" spans="1:9" x14ac:dyDescent="0.25">
      <c r="A408" s="9"/>
      <c r="B408" s="36">
        <f>B388/2</f>
        <v>-19.037781062442221</v>
      </c>
      <c r="C408" s="37">
        <f>H407/2</f>
        <v>-21.287191179895661</v>
      </c>
      <c r="D408" s="9"/>
      <c r="E408" s="9"/>
      <c r="F408" s="9"/>
      <c r="G408" s="9"/>
      <c r="H408" s="38">
        <f>C407/2</f>
        <v>21.262737589196256</v>
      </c>
      <c r="I408" s="39">
        <f>I388/2</f>
        <v>19.016059147046239</v>
      </c>
    </row>
    <row r="409" spans="1:9" x14ac:dyDescent="0.25">
      <c r="A409" s="9"/>
      <c r="B409" s="36">
        <f>-(B408+C408)*B401</f>
        <v>19.032057217618277</v>
      </c>
      <c r="C409" s="37">
        <f>-(C408+B408)*C401</f>
        <v>21.292915024719605</v>
      </c>
      <c r="D409" s="9"/>
      <c r="E409" s="9"/>
      <c r="F409" s="9"/>
      <c r="G409" s="9"/>
      <c r="H409" s="38">
        <f>-(H408+I408)*H401</f>
        <v>-21.268532834904232</v>
      </c>
      <c r="I409" s="39">
        <f>-(H408+I408)*I401</f>
        <v>-19.01026390133827</v>
      </c>
    </row>
    <row r="410" spans="1:9" x14ac:dyDescent="0.25">
      <c r="A410" s="9"/>
      <c r="B410" s="36">
        <f>B390/2</f>
        <v>-9.5048101936277352</v>
      </c>
      <c r="C410" s="37">
        <f>H409/2</f>
        <v>-10.634266417452116</v>
      </c>
      <c r="D410" s="9"/>
      <c r="E410" s="9"/>
      <c r="F410" s="9"/>
      <c r="G410" s="9"/>
      <c r="H410" s="38">
        <f>C409/2</f>
        <v>10.646457512359802</v>
      </c>
      <c r="I410" s="39">
        <f>I390/2</f>
        <v>9.5157108160064201</v>
      </c>
    </row>
    <row r="411" spans="1:9" x14ac:dyDescent="0.25">
      <c r="A411" s="9"/>
      <c r="B411" s="36">
        <f>-(B410+C410)*B401</f>
        <v>9.5049800919552521</v>
      </c>
      <c r="C411" s="37">
        <f>-(C410+B410)*C401</f>
        <v>10.634096519124599</v>
      </c>
      <c r="D411" s="9"/>
      <c r="E411" s="9"/>
      <c r="F411" s="9"/>
      <c r="G411" s="9"/>
      <c r="H411" s="38">
        <f>-(H410+I410)*H401</f>
        <v>-10.646289707281026</v>
      </c>
      <c r="I411" s="39">
        <f>-(H410+I410)*I401</f>
        <v>-9.5158786210851947</v>
      </c>
    </row>
    <row r="412" spans="1:9" x14ac:dyDescent="0.25">
      <c r="A412" s="9"/>
      <c r="B412" s="36">
        <f>B392/2</f>
        <v>-4.7579486272253408</v>
      </c>
      <c r="C412" s="37">
        <f>H411/2</f>
        <v>-5.323144853640513</v>
      </c>
      <c r="D412" s="9"/>
      <c r="E412" s="9"/>
      <c r="F412" s="9"/>
      <c r="G412" s="9"/>
      <c r="H412" s="38">
        <f>C411/2</f>
        <v>5.3170482595622994</v>
      </c>
      <c r="I412" s="39">
        <f>I392/2</f>
        <v>4.7524994788793444</v>
      </c>
    </row>
    <row r="413" spans="1:9" x14ac:dyDescent="0.25">
      <c r="A413" s="9"/>
      <c r="B413" s="36">
        <f>-(B412+C412)*B401</f>
        <v>4.7579437077096429</v>
      </c>
      <c r="C413" s="37">
        <f>-(C412+B412)*C401</f>
        <v>5.323149773156211</v>
      </c>
      <c r="D413" s="9"/>
      <c r="E413" s="9"/>
      <c r="F413" s="9"/>
      <c r="G413" s="9"/>
      <c r="H413" s="38">
        <f>-(H412+I412)*H401</f>
        <v>-5.3170532404454489</v>
      </c>
      <c r="I413" s="39">
        <f>-(I412+H412)*I401</f>
        <v>-4.7524944979961958</v>
      </c>
    </row>
    <row r="414" spans="1:9" x14ac:dyDescent="0.25">
      <c r="A414" s="9"/>
      <c r="B414" s="36">
        <f>B394/2</f>
        <v>-2.376246972455168</v>
      </c>
      <c r="C414" s="37">
        <f>H413/2</f>
        <v>-2.6585266202227245</v>
      </c>
      <c r="D414" s="9"/>
      <c r="E414" s="9"/>
      <c r="F414" s="9"/>
      <c r="G414" s="9"/>
      <c r="H414" s="38">
        <f>C413/2</f>
        <v>2.6615748865781055</v>
      </c>
      <c r="I414" s="39">
        <f>I394/2</f>
        <v>2.3789715807190657</v>
      </c>
    </row>
    <row r="415" spans="1:9" ht="15.75" thickBot="1" x14ac:dyDescent="0.3">
      <c r="A415" s="9"/>
      <c r="B415" s="15">
        <f>-(B414+C414)*B401</f>
        <v>2.3762471184789535</v>
      </c>
      <c r="C415" s="40">
        <f>-(C414+B414)*C401</f>
        <v>2.6585264741989385</v>
      </c>
      <c r="D415" s="9"/>
      <c r="E415" s="9"/>
      <c r="F415" s="9"/>
      <c r="G415" s="9"/>
      <c r="H415" s="41">
        <f>-(H414+I414)*H401</f>
        <v>-2.66157474235342</v>
      </c>
      <c r="I415" s="13">
        <f>-(H414+I414)*I401</f>
        <v>-2.3789717249437512</v>
      </c>
    </row>
    <row r="416" spans="1:9" ht="16.5" thickTop="1" thickBot="1" x14ac:dyDescent="0.3">
      <c r="A416" s="9"/>
      <c r="B416" s="60">
        <f>SUM(B402:B415)</f>
        <v>141.09136940297554</v>
      </c>
      <c r="C416" s="53">
        <f>SUM(C402:C415)</f>
        <v>-141.09136940297552</v>
      </c>
      <c r="D416" s="9"/>
      <c r="E416" s="9"/>
      <c r="F416" s="9"/>
      <c r="G416" s="9"/>
      <c r="H416" s="58">
        <f>SUM(H402:H415)</f>
        <v>140.65374931320073</v>
      </c>
      <c r="I416" s="59">
        <f>SUM(I402:I415)</f>
        <v>-140.65374931320076</v>
      </c>
    </row>
    <row r="417" spans="1:9" x14ac:dyDescent="0.25">
      <c r="A417" s="9"/>
      <c r="B417" s="9"/>
      <c r="C417" s="23"/>
      <c r="D417" s="51"/>
      <c r="E417" s="9"/>
      <c r="F417" s="9"/>
      <c r="G417" s="9"/>
      <c r="H417" s="9"/>
      <c r="I417" s="23"/>
    </row>
    <row r="418" spans="1:9" x14ac:dyDescent="0.25">
      <c r="A418" s="9"/>
      <c r="B418" s="9"/>
      <c r="C418" s="23"/>
      <c r="D418" s="51"/>
      <c r="E418" s="9"/>
      <c r="F418" s="9"/>
      <c r="G418" s="9"/>
      <c r="H418" s="9"/>
      <c r="I418" s="23"/>
    </row>
    <row r="419" spans="1:9" x14ac:dyDescent="0.25">
      <c r="A419" s="9"/>
      <c r="B419" s="9" t="s">
        <v>126</v>
      </c>
      <c r="C419" s="23"/>
      <c r="D419" s="9"/>
      <c r="E419" s="51" t="s">
        <v>16</v>
      </c>
      <c r="F419" s="9">
        <f>D109</f>
        <v>350</v>
      </c>
      <c r="G419" s="9" t="s">
        <v>127</v>
      </c>
      <c r="H419" s="9"/>
      <c r="I419" s="23"/>
    </row>
    <row r="420" spans="1:9" x14ac:dyDescent="0.25">
      <c r="A420" s="9"/>
      <c r="B420" s="9"/>
      <c r="C420" s="23"/>
      <c r="D420" s="51"/>
      <c r="E420" s="9"/>
      <c r="F420" s="9"/>
      <c r="G420" s="9"/>
      <c r="H420" s="9"/>
      <c r="I420" s="23"/>
    </row>
    <row r="421" spans="1:9" x14ac:dyDescent="0.25">
      <c r="A421" s="9"/>
      <c r="B421" s="9" t="s">
        <v>128</v>
      </c>
      <c r="C421" s="23"/>
      <c r="D421" s="51"/>
      <c r="E421" s="9"/>
      <c r="F421" s="9">
        <f>D117</f>
        <v>1.44</v>
      </c>
      <c r="G421" s="9"/>
      <c r="H421" s="9"/>
      <c r="I421" s="23"/>
    </row>
    <row r="422" spans="1:9" x14ac:dyDescent="0.25">
      <c r="A422" s="9"/>
      <c r="B422" s="9" t="s">
        <v>130</v>
      </c>
      <c r="C422" s="23"/>
      <c r="D422" s="51"/>
      <c r="E422" s="9"/>
      <c r="F422" s="9">
        <f>E127</f>
        <v>4.57</v>
      </c>
      <c r="G422" s="9"/>
      <c r="H422" s="9"/>
      <c r="I422" s="23"/>
    </row>
    <row r="423" spans="1:9" x14ac:dyDescent="0.25">
      <c r="A423" s="9"/>
      <c r="B423" s="9"/>
      <c r="C423" s="23"/>
      <c r="D423" s="51"/>
      <c r="E423" s="9"/>
      <c r="F423" s="9"/>
      <c r="G423" s="9"/>
      <c r="H423" s="9"/>
      <c r="I423" s="23"/>
    </row>
    <row r="424" spans="1:9" x14ac:dyDescent="0.25">
      <c r="A424" s="9"/>
      <c r="B424" s="9"/>
      <c r="C424" s="9" t="s">
        <v>129</v>
      </c>
      <c r="D424" s="51"/>
      <c r="E424" s="9" t="s">
        <v>16</v>
      </c>
      <c r="F424" s="21">
        <f>IF(E127&gt;H98,0.2*F419*H99/E134/F421,0.2*F419*F421)</f>
        <v>100.8</v>
      </c>
      <c r="G424" s="9" t="s">
        <v>127</v>
      </c>
      <c r="H424" s="9"/>
      <c r="I424" s="23"/>
    </row>
    <row r="425" spans="1:9" x14ac:dyDescent="0.25">
      <c r="A425" s="9"/>
      <c r="B425" s="9"/>
      <c r="C425" s="23"/>
      <c r="D425" s="51"/>
      <c r="E425" s="9"/>
      <c r="F425" s="9"/>
      <c r="G425" s="9"/>
      <c r="H425" s="9"/>
      <c r="I425" s="23"/>
    </row>
    <row r="426" spans="1:9" x14ac:dyDescent="0.25">
      <c r="A426" s="9"/>
      <c r="B426" s="9"/>
      <c r="C426" s="23"/>
      <c r="D426" s="51"/>
      <c r="E426" s="9"/>
      <c r="F426" s="9"/>
      <c r="G426" s="9"/>
      <c r="H426" s="9"/>
      <c r="I426" s="23"/>
    </row>
    <row r="427" spans="1:9" x14ac:dyDescent="0.25">
      <c r="A427" s="9"/>
      <c r="B427" s="9"/>
      <c r="C427" s="23"/>
      <c r="D427" s="51"/>
      <c r="E427" s="9"/>
      <c r="F427" s="9"/>
      <c r="G427" s="9"/>
      <c r="H427" s="61">
        <f>F424</f>
        <v>100.8</v>
      </c>
      <c r="I427" s="9" t="s">
        <v>127</v>
      </c>
    </row>
    <row r="428" spans="1:9" x14ac:dyDescent="0.25">
      <c r="A428" s="9"/>
      <c r="B428" s="9"/>
      <c r="C428" s="23"/>
      <c r="D428" s="51"/>
      <c r="E428" s="9"/>
      <c r="F428" s="9"/>
      <c r="G428" s="9"/>
      <c r="H428" s="9"/>
      <c r="I428" s="23"/>
    </row>
    <row r="429" spans="1:9" x14ac:dyDescent="0.25">
      <c r="A429" s="9"/>
      <c r="B429" s="9"/>
      <c r="C429" s="23"/>
      <c r="D429" s="51"/>
      <c r="E429" s="9"/>
      <c r="F429" s="9"/>
      <c r="G429" s="9"/>
      <c r="H429" s="9"/>
      <c r="I429" s="23"/>
    </row>
    <row r="430" spans="1:9" x14ac:dyDescent="0.25">
      <c r="A430" s="9"/>
      <c r="B430" s="9"/>
      <c r="C430" s="23"/>
      <c r="D430" s="51"/>
      <c r="E430" s="9"/>
      <c r="F430" s="9"/>
      <c r="G430" s="9"/>
      <c r="H430" s="9"/>
      <c r="I430" s="23"/>
    </row>
    <row r="431" spans="1:9" x14ac:dyDescent="0.25">
      <c r="A431" s="9"/>
      <c r="B431" s="9"/>
      <c r="C431" s="23"/>
      <c r="D431" s="51"/>
      <c r="E431" s="9"/>
      <c r="F431" s="9"/>
      <c r="G431" s="9"/>
      <c r="H431" s="9"/>
      <c r="I431" s="23"/>
    </row>
    <row r="432" spans="1:9" x14ac:dyDescent="0.25">
      <c r="A432" s="9"/>
      <c r="B432" s="9"/>
      <c r="C432" s="23"/>
      <c r="D432" s="51"/>
      <c r="E432" s="9"/>
      <c r="F432" s="9"/>
      <c r="G432" s="9"/>
      <c r="H432" s="9"/>
      <c r="I432" s="23"/>
    </row>
    <row r="433" spans="1:9" x14ac:dyDescent="0.25">
      <c r="A433" s="9"/>
      <c r="B433" s="9"/>
      <c r="C433" s="23"/>
      <c r="D433" s="51"/>
      <c r="E433" s="9"/>
      <c r="F433" s="9"/>
      <c r="G433" s="9"/>
      <c r="H433" s="9"/>
      <c r="I433" s="23"/>
    </row>
    <row r="434" spans="1:9" x14ac:dyDescent="0.25">
      <c r="A434" s="9"/>
      <c r="B434" s="9"/>
      <c r="C434" s="23"/>
      <c r="D434" s="51"/>
      <c r="E434" s="9"/>
      <c r="F434" s="9"/>
      <c r="G434" s="9"/>
      <c r="H434" s="9"/>
      <c r="I434" s="23"/>
    </row>
    <row r="435" spans="1:9" x14ac:dyDescent="0.25">
      <c r="A435" s="9"/>
      <c r="B435" s="9"/>
      <c r="C435" s="23"/>
      <c r="D435" s="51"/>
      <c r="E435" s="9"/>
      <c r="F435" s="9"/>
      <c r="G435" s="9"/>
      <c r="H435" s="9"/>
      <c r="I435" s="23"/>
    </row>
    <row r="436" spans="1:9" x14ac:dyDescent="0.25">
      <c r="A436" s="9"/>
      <c r="B436" s="9"/>
      <c r="C436" s="23"/>
      <c r="D436" s="51"/>
      <c r="E436" s="9"/>
      <c r="F436" s="9"/>
      <c r="G436" s="9"/>
      <c r="H436" s="9"/>
      <c r="I436" s="23"/>
    </row>
    <row r="437" spans="1:9" x14ac:dyDescent="0.25">
      <c r="A437" s="9"/>
      <c r="B437" s="9"/>
      <c r="C437" s="23"/>
      <c r="D437" s="51"/>
      <c r="E437" s="9"/>
      <c r="F437" s="9"/>
      <c r="G437" s="9"/>
      <c r="H437" s="9"/>
      <c r="I437" s="23"/>
    </row>
    <row r="438" spans="1:9" x14ac:dyDescent="0.25">
      <c r="A438" s="9"/>
      <c r="B438" s="9"/>
      <c r="C438" s="23"/>
      <c r="D438" s="51"/>
      <c r="E438" s="9"/>
      <c r="F438" s="9"/>
      <c r="G438" s="9"/>
      <c r="H438" s="9"/>
      <c r="I438" s="23"/>
    </row>
    <row r="439" spans="1:9" x14ac:dyDescent="0.25">
      <c r="A439" s="9"/>
      <c r="B439" s="9"/>
      <c r="C439" s="23"/>
      <c r="D439" s="51"/>
      <c r="E439" s="9"/>
      <c r="F439" s="9"/>
      <c r="G439" s="9"/>
      <c r="H439" s="9"/>
      <c r="I439" s="23"/>
    </row>
    <row r="440" spans="1:9" x14ac:dyDescent="0.25">
      <c r="A440" s="9"/>
      <c r="B440" s="9"/>
      <c r="C440" s="9" t="s">
        <v>120</v>
      </c>
      <c r="D440" s="51"/>
      <c r="E440" s="9" t="s">
        <v>16</v>
      </c>
      <c r="F440" s="22">
        <f>F424*C161/2</f>
        <v>234.35999999999996</v>
      </c>
      <c r="G440" s="9" t="s">
        <v>58</v>
      </c>
      <c r="H440" s="9"/>
      <c r="I440" s="23"/>
    </row>
    <row r="441" spans="1:9" x14ac:dyDescent="0.25">
      <c r="A441" s="9"/>
      <c r="B441" s="9"/>
      <c r="C441" s="23"/>
      <c r="D441" s="51"/>
      <c r="E441" s="9"/>
      <c r="F441" s="9"/>
      <c r="G441" s="9"/>
      <c r="H441" s="9"/>
      <c r="I441" s="23"/>
    </row>
    <row r="442" spans="1:9" x14ac:dyDescent="0.25">
      <c r="A442" s="9"/>
      <c r="B442" s="9"/>
      <c r="C442" s="23"/>
      <c r="D442" s="51"/>
      <c r="E442" s="9"/>
      <c r="F442" s="9"/>
      <c r="G442" s="9"/>
      <c r="H442" s="9"/>
      <c r="I442" s="23"/>
    </row>
    <row r="443" spans="1:9" x14ac:dyDescent="0.25">
      <c r="A443" s="9"/>
      <c r="B443" s="9"/>
      <c r="C443" s="23"/>
      <c r="D443" s="51"/>
      <c r="E443" s="9"/>
      <c r="F443" s="9"/>
      <c r="G443" s="9"/>
      <c r="H443" s="9"/>
      <c r="I443" s="23"/>
    </row>
    <row r="444" spans="1:9" x14ac:dyDescent="0.25">
      <c r="A444" s="9"/>
      <c r="B444" s="9"/>
      <c r="C444" s="23"/>
      <c r="D444" s="51"/>
      <c r="E444" s="9"/>
      <c r="F444" s="9"/>
      <c r="G444" s="9"/>
      <c r="H444" s="9"/>
      <c r="I444" s="23"/>
    </row>
    <row r="445" spans="1:9" x14ac:dyDescent="0.25">
      <c r="A445" s="9"/>
      <c r="B445" s="9"/>
      <c r="C445" s="23"/>
      <c r="D445" s="51"/>
      <c r="E445" s="9"/>
      <c r="F445" s="9"/>
      <c r="G445" s="9"/>
      <c r="H445" s="9"/>
      <c r="I445" s="23"/>
    </row>
    <row r="446" spans="1:9" x14ac:dyDescent="0.25">
      <c r="A446" s="9"/>
      <c r="B446" s="9"/>
      <c r="C446" s="23"/>
      <c r="D446" s="51"/>
      <c r="E446" s="9"/>
      <c r="F446" s="9"/>
      <c r="G446" s="9"/>
      <c r="H446" s="9"/>
      <c r="I446" s="23"/>
    </row>
    <row r="447" spans="1:9" x14ac:dyDescent="0.25">
      <c r="A447" s="9"/>
      <c r="B447" s="9"/>
      <c r="C447" s="23"/>
      <c r="D447" s="51"/>
      <c r="E447" s="9"/>
      <c r="F447" s="9"/>
      <c r="G447" s="9"/>
      <c r="H447" s="9"/>
      <c r="I447" s="23"/>
    </row>
    <row r="448" spans="1:9" x14ac:dyDescent="0.25">
      <c r="A448" s="9"/>
      <c r="B448" s="9"/>
      <c r="C448" s="23"/>
      <c r="D448" s="51"/>
      <c r="E448" s="9"/>
      <c r="F448" s="9"/>
      <c r="G448" s="9"/>
      <c r="H448" s="9"/>
      <c r="I448" s="23"/>
    </row>
    <row r="449" spans="1:9" x14ac:dyDescent="0.25">
      <c r="A449" s="9"/>
      <c r="B449" s="9"/>
      <c r="C449" s="23"/>
      <c r="D449" s="51"/>
      <c r="E449" s="9"/>
      <c r="F449" s="9"/>
      <c r="G449" s="9"/>
      <c r="H449" s="9"/>
      <c r="I449" s="23"/>
    </row>
    <row r="450" spans="1:9" x14ac:dyDescent="0.25">
      <c r="A450" s="9"/>
      <c r="B450" s="9"/>
      <c r="C450" s="23"/>
      <c r="D450" s="51"/>
      <c r="E450" s="9"/>
      <c r="F450" s="9"/>
      <c r="G450" s="9"/>
      <c r="H450" s="9"/>
      <c r="I450" s="23"/>
    </row>
    <row r="451" spans="1:9" x14ac:dyDescent="0.25">
      <c r="A451" s="9"/>
      <c r="B451" s="9"/>
      <c r="C451" s="23"/>
      <c r="D451" s="51"/>
      <c r="E451" s="9"/>
      <c r="F451" s="9"/>
      <c r="G451" s="9"/>
      <c r="H451" s="9"/>
      <c r="I451" s="23"/>
    </row>
    <row r="452" spans="1:9" x14ac:dyDescent="0.25">
      <c r="A452" s="9"/>
      <c r="B452" s="9"/>
      <c r="C452" s="23"/>
      <c r="D452" s="51"/>
      <c r="E452" s="9"/>
      <c r="F452" s="9"/>
      <c r="G452" s="9"/>
      <c r="H452" s="9"/>
      <c r="I452" s="23"/>
    </row>
    <row r="453" spans="1:9" x14ac:dyDescent="0.25">
      <c r="A453" s="9"/>
      <c r="B453" s="9"/>
      <c r="C453" s="23"/>
      <c r="D453" s="51"/>
      <c r="E453" s="9"/>
      <c r="F453" s="9"/>
      <c r="G453" s="9"/>
      <c r="H453" s="9"/>
      <c r="I453" s="23"/>
    </row>
    <row r="454" spans="1:9" x14ac:dyDescent="0.25">
      <c r="A454" s="9"/>
      <c r="B454" s="9"/>
      <c r="C454" s="23"/>
      <c r="D454" s="51"/>
      <c r="E454" s="9"/>
      <c r="F454" s="9"/>
      <c r="G454" s="9"/>
      <c r="H454" s="9"/>
      <c r="I454" s="23"/>
    </row>
    <row r="455" spans="1:9" x14ac:dyDescent="0.25">
      <c r="A455" s="9"/>
      <c r="B455" s="9"/>
      <c r="C455" s="23"/>
      <c r="D455" s="51"/>
      <c r="E455" s="9"/>
      <c r="F455" s="9"/>
      <c r="G455" s="9"/>
      <c r="H455" s="9"/>
      <c r="I455" s="23"/>
    </row>
    <row r="456" spans="1:9" x14ac:dyDescent="0.25">
      <c r="A456" s="9"/>
      <c r="B456" s="9"/>
      <c r="C456" s="23"/>
      <c r="D456" s="51"/>
      <c r="E456" s="9"/>
      <c r="F456" s="9"/>
      <c r="G456" s="9"/>
      <c r="H456" s="9"/>
      <c r="I456" s="23"/>
    </row>
    <row r="457" spans="1:9" x14ac:dyDescent="0.25">
      <c r="A457" s="9"/>
      <c r="B457" s="9"/>
      <c r="C457" s="23"/>
      <c r="D457" s="51"/>
      <c r="E457" s="9"/>
      <c r="F457" s="9"/>
      <c r="G457" s="9"/>
      <c r="H457" s="9"/>
      <c r="I457" s="23"/>
    </row>
    <row r="458" spans="1:9" x14ac:dyDescent="0.25">
      <c r="A458" s="9"/>
      <c r="B458" s="9"/>
      <c r="C458" s="23"/>
      <c r="D458" s="51"/>
      <c r="E458" s="9"/>
      <c r="F458" s="9"/>
      <c r="G458" s="9"/>
      <c r="H458" s="9"/>
      <c r="I458" s="23"/>
    </row>
    <row r="459" spans="1:9" x14ac:dyDescent="0.25">
      <c r="A459" s="9"/>
      <c r="B459" s="9"/>
      <c r="C459" s="23"/>
      <c r="D459" s="51"/>
      <c r="E459" s="9"/>
      <c r="F459" s="9"/>
      <c r="G459" s="9"/>
      <c r="H459" s="9"/>
      <c r="I459" s="23"/>
    </row>
    <row r="460" spans="1:9" x14ac:dyDescent="0.25">
      <c r="A460" s="9"/>
      <c r="B460" s="9"/>
      <c r="C460" s="23"/>
      <c r="D460" s="51"/>
      <c r="E460" s="9"/>
      <c r="F460" s="9"/>
      <c r="G460" s="9"/>
      <c r="H460" s="9"/>
      <c r="I460" s="23"/>
    </row>
    <row r="461" spans="1:9" x14ac:dyDescent="0.25">
      <c r="A461" s="9"/>
      <c r="B461" s="9"/>
      <c r="C461" s="23"/>
      <c r="D461" s="51"/>
      <c r="E461" s="9"/>
      <c r="F461" s="9"/>
      <c r="G461" s="9"/>
      <c r="H461" s="9"/>
      <c r="I461" s="23"/>
    </row>
    <row r="462" spans="1:9" x14ac:dyDescent="0.25">
      <c r="A462" s="9"/>
      <c r="B462" s="9"/>
      <c r="C462" s="23"/>
      <c r="D462" s="51"/>
      <c r="E462" s="9"/>
      <c r="F462" s="9"/>
      <c r="G462" s="9"/>
      <c r="H462" s="9"/>
      <c r="I462" s="23"/>
    </row>
    <row r="463" spans="1:9" x14ac:dyDescent="0.25">
      <c r="A463" s="9"/>
      <c r="B463" s="9"/>
      <c r="C463" s="23"/>
      <c r="D463" s="51"/>
      <c r="E463" s="9"/>
      <c r="F463" s="9"/>
      <c r="G463" s="9"/>
      <c r="H463" s="9"/>
      <c r="I463" s="23"/>
    </row>
    <row r="464" spans="1:9" x14ac:dyDescent="0.25">
      <c r="A464" s="9"/>
      <c r="B464" s="9" t="s">
        <v>36</v>
      </c>
      <c r="C464" s="9"/>
      <c r="D464" s="9"/>
      <c r="E464" s="9"/>
      <c r="F464" s="9"/>
      <c r="G464" s="9"/>
      <c r="H464" s="9"/>
      <c r="I464" s="9"/>
    </row>
    <row r="465" spans="1:9" x14ac:dyDescent="0.25">
      <c r="A465" s="9"/>
      <c r="B465" s="9" t="s">
        <v>37</v>
      </c>
      <c r="C465" s="9" t="s">
        <v>16</v>
      </c>
      <c r="D465" s="62">
        <f>F440</f>
        <v>234.35999999999996</v>
      </c>
      <c r="E465" s="9" t="s">
        <v>58</v>
      </c>
      <c r="F465" s="9" t="s">
        <v>41</v>
      </c>
      <c r="G465" s="9" t="s">
        <v>16</v>
      </c>
      <c r="H465" s="62">
        <f>F440</f>
        <v>234.35999999999996</v>
      </c>
      <c r="I465" s="9" t="s">
        <v>58</v>
      </c>
    </row>
    <row r="466" spans="1:9" x14ac:dyDescent="0.25">
      <c r="A466" s="9"/>
      <c r="B466" s="9" t="s">
        <v>38</v>
      </c>
      <c r="C466" s="9" t="s">
        <v>16</v>
      </c>
      <c r="D466" s="62">
        <f>D465</f>
        <v>234.35999999999996</v>
      </c>
      <c r="E466" s="9" t="s">
        <v>58</v>
      </c>
      <c r="F466" s="9" t="s">
        <v>42</v>
      </c>
      <c r="G466" s="9" t="s">
        <v>16</v>
      </c>
      <c r="H466" s="62">
        <f>H465</f>
        <v>234.35999999999996</v>
      </c>
      <c r="I466" s="9" t="s">
        <v>58</v>
      </c>
    </row>
    <row r="467" spans="1:9" x14ac:dyDescent="0.25">
      <c r="A467" s="9"/>
      <c r="B467" s="9" t="s">
        <v>39</v>
      </c>
      <c r="C467" s="9" t="s">
        <v>16</v>
      </c>
      <c r="D467" s="27">
        <v>0</v>
      </c>
      <c r="E467" s="9" t="s">
        <v>58</v>
      </c>
      <c r="F467" s="9" t="s">
        <v>43</v>
      </c>
      <c r="G467" s="9" t="s">
        <v>16</v>
      </c>
      <c r="H467" s="27">
        <v>0</v>
      </c>
      <c r="I467" s="9" t="s">
        <v>58</v>
      </c>
    </row>
    <row r="468" spans="1:9" x14ac:dyDescent="0.25">
      <c r="A468" s="9"/>
      <c r="B468" s="9" t="s">
        <v>40</v>
      </c>
      <c r="C468" s="9" t="s">
        <v>16</v>
      </c>
      <c r="D468" s="27">
        <v>0</v>
      </c>
      <c r="E468" s="9" t="s">
        <v>58</v>
      </c>
      <c r="F468" s="9" t="s">
        <v>44</v>
      </c>
      <c r="G468" s="9" t="s">
        <v>16</v>
      </c>
      <c r="H468" s="27">
        <v>0</v>
      </c>
      <c r="I468" s="9" t="s">
        <v>58</v>
      </c>
    </row>
    <row r="469" spans="1:9" x14ac:dyDescent="0.25">
      <c r="A469" s="9"/>
      <c r="B469" s="9"/>
      <c r="C469" s="9"/>
      <c r="D469" s="9"/>
      <c r="E469" s="27"/>
      <c r="F469" s="9"/>
      <c r="G469" s="9"/>
      <c r="H469" s="9"/>
      <c r="I469" s="27"/>
    </row>
    <row r="470" spans="1:9" x14ac:dyDescent="0.25">
      <c r="A470" s="9"/>
      <c r="B470" s="9" t="s">
        <v>45</v>
      </c>
      <c r="C470" s="9"/>
      <c r="D470" s="9"/>
      <c r="E470" s="9"/>
      <c r="F470" s="9"/>
      <c r="G470" s="9"/>
      <c r="H470" s="9"/>
      <c r="I470" s="9"/>
    </row>
    <row r="471" spans="1:9" x14ac:dyDescent="0.25">
      <c r="A471" s="9"/>
      <c r="B471" s="9"/>
      <c r="C471" s="9"/>
      <c r="D471" s="9"/>
      <c r="E471" s="9" t="s">
        <v>47</v>
      </c>
      <c r="F471" s="9"/>
      <c r="G471" s="9"/>
      <c r="H471" s="9"/>
      <c r="I471" s="9"/>
    </row>
    <row r="472" spans="1:9" x14ac:dyDescent="0.25">
      <c r="A472" s="9"/>
      <c r="B472" s="9"/>
      <c r="C472" s="9"/>
      <c r="D472" s="9"/>
      <c r="E472" s="9">
        <v>0</v>
      </c>
      <c r="F472" s="9" t="s">
        <v>58</v>
      </c>
      <c r="G472" s="9"/>
      <c r="H472" s="9"/>
      <c r="I472" s="9"/>
    </row>
    <row r="473" spans="1:9" ht="15.75" thickBot="1" x14ac:dyDescent="0.3">
      <c r="A473" s="9"/>
      <c r="B473" s="9"/>
      <c r="C473" s="9"/>
      <c r="D473" s="9"/>
      <c r="E473" s="9"/>
      <c r="F473" s="9"/>
      <c r="G473" s="9"/>
      <c r="H473" s="9"/>
      <c r="I473" s="9"/>
    </row>
    <row r="474" spans="1:9" x14ac:dyDescent="0.25">
      <c r="A474" s="9"/>
      <c r="B474" s="28">
        <f>B382</f>
        <v>0.58666666666666667</v>
      </c>
      <c r="C474" s="29">
        <f>C382</f>
        <v>0.41333333333333333</v>
      </c>
      <c r="D474" s="9"/>
      <c r="E474" s="9"/>
      <c r="F474" s="9"/>
      <c r="G474" s="9"/>
      <c r="H474" s="55">
        <f>H382</f>
        <v>0.41333333333333333</v>
      </c>
      <c r="I474" s="31">
        <f>I382</f>
        <v>0.58666666666666667</v>
      </c>
    </row>
    <row r="475" spans="1:9" x14ac:dyDescent="0.25">
      <c r="A475" s="9"/>
      <c r="B475" s="32">
        <f>D466</f>
        <v>234.35999999999996</v>
      </c>
      <c r="C475" s="33">
        <f>D467</f>
        <v>0</v>
      </c>
      <c r="D475" s="9"/>
      <c r="E475" s="9"/>
      <c r="F475" s="9"/>
      <c r="G475" s="9"/>
      <c r="H475" s="34">
        <f>D468</f>
        <v>0</v>
      </c>
      <c r="I475" s="35">
        <f>H465</f>
        <v>234.35999999999996</v>
      </c>
    </row>
    <row r="476" spans="1:9" x14ac:dyDescent="0.25">
      <c r="A476" s="9"/>
      <c r="B476" s="36">
        <f>-(C475+B475)*B474</f>
        <v>-137.49119999999996</v>
      </c>
      <c r="C476" s="37">
        <f>-(C475+B475)*C474</f>
        <v>-96.868799999999979</v>
      </c>
      <c r="D476" s="9"/>
      <c r="E476" s="9"/>
      <c r="F476" s="9"/>
      <c r="G476" s="9"/>
      <c r="H476" s="38">
        <f>-(H475+I475)*H474</f>
        <v>-96.868799999999979</v>
      </c>
      <c r="I476" s="39">
        <f>-(H475+I475)*I474</f>
        <v>-137.49119999999996</v>
      </c>
    </row>
    <row r="477" spans="1:9" x14ac:dyDescent="0.25">
      <c r="A477" s="9"/>
      <c r="B477" s="36">
        <f>B495/2</f>
        <v>-55.305096091771361</v>
      </c>
      <c r="C477" s="37">
        <f>H476/2</f>
        <v>-48.434399999999989</v>
      </c>
      <c r="D477" s="9"/>
      <c r="E477" s="9"/>
      <c r="F477" s="9"/>
      <c r="G477" s="9"/>
      <c r="H477" s="38">
        <f>C476/2</f>
        <v>-48.434399999999989</v>
      </c>
      <c r="I477" s="39">
        <f>I495/2</f>
        <v>-55.305096091771361</v>
      </c>
    </row>
    <row r="478" spans="1:9" ht="15" customHeight="1" x14ac:dyDescent="0.25">
      <c r="A478" s="9"/>
      <c r="B478" s="36">
        <f>-(B477+C477)*B474</f>
        <v>60.860504373839191</v>
      </c>
      <c r="C478" s="37">
        <f>-(C477+B477)*C474</f>
        <v>42.878991717932152</v>
      </c>
      <c r="D478" s="165">
        <v>0</v>
      </c>
      <c r="E478" s="9"/>
      <c r="F478" s="9"/>
      <c r="G478" s="166">
        <v>0</v>
      </c>
      <c r="H478" s="38">
        <f>-(H477+I477)*H474</f>
        <v>42.878991717932152</v>
      </c>
      <c r="I478" s="39">
        <f>-(I477+H477)*I474</f>
        <v>60.860504373839191</v>
      </c>
    </row>
    <row r="479" spans="1:9" x14ac:dyDescent="0.25">
      <c r="A479" s="9"/>
      <c r="B479" s="36">
        <f>B497/2</f>
        <v>30.824285373784697</v>
      </c>
      <c r="C479" s="37">
        <f>H478/2</f>
        <v>21.439495858966076</v>
      </c>
      <c r="D479" s="165"/>
      <c r="E479" s="9"/>
      <c r="F479" s="9"/>
      <c r="G479" s="166"/>
      <c r="H479" s="38">
        <f>C478/2</f>
        <v>21.439495858966076</v>
      </c>
      <c r="I479" s="39">
        <f>I497/2</f>
        <v>30.824285373784697</v>
      </c>
    </row>
    <row r="480" spans="1:9" x14ac:dyDescent="0.25">
      <c r="A480" s="9"/>
      <c r="B480" s="36">
        <f>-(B479+C479)*B474</f>
        <v>-30.661418323213788</v>
      </c>
      <c r="C480" s="37">
        <f>-(B479+C479)*C474</f>
        <v>-21.602362909536986</v>
      </c>
      <c r="D480" s="165"/>
      <c r="E480" s="9"/>
      <c r="F480" s="9"/>
      <c r="G480" s="166"/>
      <c r="H480" s="38">
        <f>-(H479+I479)*H474</f>
        <v>-21.602362909536986</v>
      </c>
      <c r="I480" s="39">
        <f>-(H479+I479)*I474</f>
        <v>-30.661418323213788</v>
      </c>
    </row>
    <row r="481" spans="1:9" x14ac:dyDescent="0.25">
      <c r="A481" s="9"/>
      <c r="B481" s="36">
        <f>B499/2</f>
        <v>-15.319157351242403</v>
      </c>
      <c r="C481" s="37">
        <f>H480/2</f>
        <v>-10.801181454768493</v>
      </c>
      <c r="D481" s="165"/>
      <c r="E481" s="9"/>
      <c r="F481" s="9"/>
      <c r="G481" s="166"/>
      <c r="H481" s="38">
        <f>C480/2</f>
        <v>-10.801181454768493</v>
      </c>
      <c r="I481" s="39">
        <f>I499/2</f>
        <v>-15.319157351242403</v>
      </c>
    </row>
    <row r="482" spans="1:9" x14ac:dyDescent="0.25">
      <c r="A482" s="9"/>
      <c r="B482" s="36">
        <f>-(B481+C481)*B474</f>
        <v>15.323932099526392</v>
      </c>
      <c r="C482" s="37">
        <f>-(B481+C481)*C474</f>
        <v>10.796406706484504</v>
      </c>
      <c r="D482" s="165"/>
      <c r="E482" s="9"/>
      <c r="F482" s="9"/>
      <c r="G482" s="166"/>
      <c r="H482" s="38">
        <f>-(H481+I481)*H474</f>
        <v>10.796406706484504</v>
      </c>
      <c r="I482" s="39">
        <f>-(H481+I481)*I474</f>
        <v>15.323932099526392</v>
      </c>
    </row>
    <row r="483" spans="1:9" x14ac:dyDescent="0.25">
      <c r="A483" s="9"/>
      <c r="B483" s="36">
        <f>B501/2</f>
        <v>7.6623047124117898</v>
      </c>
      <c r="C483" s="37">
        <f>H482/2</f>
        <v>5.398203353242252</v>
      </c>
      <c r="D483" s="165"/>
      <c r="E483" s="9"/>
      <c r="F483" s="9"/>
      <c r="G483" s="166"/>
      <c r="H483" s="38">
        <f>C482/2</f>
        <v>5.398203353242252</v>
      </c>
      <c r="I483" s="39">
        <f>I501/2</f>
        <v>7.6623047124117898</v>
      </c>
    </row>
    <row r="484" spans="1:9" x14ac:dyDescent="0.25">
      <c r="A484" s="9"/>
      <c r="B484" s="36">
        <f>-(B483+C483)*B474</f>
        <v>-7.6621647318503703</v>
      </c>
      <c r="C484" s="37">
        <f>-(C483+B483)*C474</f>
        <v>-5.3983433338036706</v>
      </c>
      <c r="D484" s="165"/>
      <c r="E484" s="9"/>
      <c r="F484" s="9"/>
      <c r="G484" s="166"/>
      <c r="H484" s="38">
        <f>-(H483+I483)*H474</f>
        <v>-5.3983433338036706</v>
      </c>
      <c r="I484" s="39">
        <f>-(H483+I483)*I474</f>
        <v>-7.6621647318503703</v>
      </c>
    </row>
    <row r="485" spans="1:9" x14ac:dyDescent="0.25">
      <c r="A485" s="9"/>
      <c r="B485" s="36">
        <f>B503/2</f>
        <v>-3.8310724374043792</v>
      </c>
      <c r="C485" s="37">
        <f>H484/2</f>
        <v>-2.6991716669018353</v>
      </c>
      <c r="D485" s="165"/>
      <c r="E485" s="9"/>
      <c r="F485" s="9"/>
      <c r="G485" s="166"/>
      <c r="H485" s="38">
        <f>C484/2</f>
        <v>-2.6991716669018353</v>
      </c>
      <c r="I485" s="39">
        <f>I503/2</f>
        <v>-3.8310724374043792</v>
      </c>
    </row>
    <row r="486" spans="1:9" x14ac:dyDescent="0.25">
      <c r="A486" s="9"/>
      <c r="B486" s="36">
        <f>-(B485+C485)*B474</f>
        <v>3.8310765411929792</v>
      </c>
      <c r="C486" s="37">
        <f>-(C485+B485)*C474</f>
        <v>2.6991675631132357</v>
      </c>
      <c r="D486" s="165"/>
      <c r="E486" s="9"/>
      <c r="F486" s="9"/>
      <c r="G486" s="166"/>
      <c r="H486" s="38">
        <f>-(H485+I485)*H474</f>
        <v>2.6991675631132357</v>
      </c>
      <c r="I486" s="39">
        <f>-(I485+H485)*I474</f>
        <v>3.8310765411929792</v>
      </c>
    </row>
    <row r="487" spans="1:9" x14ac:dyDescent="0.25">
      <c r="A487" s="9"/>
      <c r="B487" s="36">
        <f>B505/2</f>
        <v>1.9155385616694078</v>
      </c>
      <c r="C487" s="37">
        <f>H486/2</f>
        <v>1.3495837815566178</v>
      </c>
      <c r="D487" s="9"/>
      <c r="E487" s="9"/>
      <c r="F487" s="9"/>
      <c r="G487" s="9"/>
      <c r="H487" s="38">
        <f>C486/2</f>
        <v>1.3495837815566178</v>
      </c>
      <c r="I487" s="39">
        <f>I505/2</f>
        <v>1.9155385616694078</v>
      </c>
    </row>
    <row r="488" spans="1:9" ht="15.75" thickBot="1" x14ac:dyDescent="0.3">
      <c r="A488" s="9"/>
      <c r="B488" s="15">
        <f>-(B487+C487)*B474</f>
        <v>-1.9155384413592684</v>
      </c>
      <c r="C488" s="40">
        <f>-(B487+C487)*C474</f>
        <v>-1.3495839018667573</v>
      </c>
      <c r="D488" s="9"/>
      <c r="E488" s="9"/>
      <c r="F488" s="9"/>
      <c r="G488" s="9"/>
      <c r="H488" s="41">
        <f>-(H487+I487)*H474</f>
        <v>-1.3495839018667573</v>
      </c>
      <c r="I488" s="13">
        <f>-(H487+I487)*I474</f>
        <v>-1.9155384413592684</v>
      </c>
    </row>
    <row r="489" spans="1:9" ht="15.75" thickBot="1" x14ac:dyDescent="0.3">
      <c r="A489" s="9"/>
      <c r="B489" s="56">
        <f>SUM(B475:B488)</f>
        <v>102.59199428558289</v>
      </c>
      <c r="C489" s="57">
        <f>SUM(C475:C488)</f>
        <v>-102.59199428558287</v>
      </c>
      <c r="D489" s="9"/>
      <c r="E489" s="9"/>
      <c r="F489" s="9"/>
      <c r="G489" s="9"/>
      <c r="H489" s="58">
        <f>SUM(H475:H488)</f>
        <v>-102.59199428558287</v>
      </c>
      <c r="I489" s="59">
        <f>SUM(I475:I488)</f>
        <v>102.59199428558289</v>
      </c>
    </row>
    <row r="490" spans="1:9" x14ac:dyDescent="0.25">
      <c r="A490" s="9"/>
      <c r="B490" s="9"/>
      <c r="C490" s="9"/>
      <c r="D490" s="9"/>
      <c r="E490" s="9"/>
      <c r="F490" s="9"/>
      <c r="G490" s="9"/>
      <c r="H490" s="9"/>
      <c r="I490" s="9"/>
    </row>
    <row r="491" spans="1:9" x14ac:dyDescent="0.25">
      <c r="A491" s="9"/>
      <c r="B491" s="9"/>
      <c r="C491" s="9"/>
      <c r="D491" s="9"/>
      <c r="E491" s="9"/>
      <c r="F491" s="9"/>
      <c r="G491" s="9"/>
      <c r="H491" s="9"/>
      <c r="I491" s="9"/>
    </row>
    <row r="492" spans="1:9" ht="15.75" thickBot="1" x14ac:dyDescent="0.3">
      <c r="A492" s="9"/>
      <c r="B492" s="9"/>
      <c r="C492" s="9"/>
      <c r="D492" s="9"/>
      <c r="E492" s="9"/>
      <c r="F492" s="9"/>
      <c r="G492" s="9"/>
      <c r="H492" s="9"/>
      <c r="I492" s="9"/>
    </row>
    <row r="493" spans="1:9" x14ac:dyDescent="0.25">
      <c r="A493" s="9"/>
      <c r="B493" s="28">
        <f>B401</f>
        <v>0.47196702587277156</v>
      </c>
      <c r="C493" s="29">
        <f>C401</f>
        <v>0.52803297412722849</v>
      </c>
      <c r="D493" s="9"/>
      <c r="E493" s="9"/>
      <c r="F493" s="9"/>
      <c r="G493" s="9"/>
      <c r="H493" s="30">
        <f>H401</f>
        <v>0.52803297412722849</v>
      </c>
      <c r="I493" s="31">
        <f>I401</f>
        <v>0.47196702587277156</v>
      </c>
    </row>
    <row r="494" spans="1:9" x14ac:dyDescent="0.25">
      <c r="A494" s="9"/>
      <c r="B494" s="32">
        <f>D465</f>
        <v>234.35999999999996</v>
      </c>
      <c r="C494" s="33">
        <f>H468</f>
        <v>0</v>
      </c>
      <c r="D494" s="9"/>
      <c r="E494" s="10" t="s">
        <v>46</v>
      </c>
      <c r="F494" s="9"/>
      <c r="G494" s="9"/>
      <c r="H494" s="34">
        <f>H467</f>
        <v>0</v>
      </c>
      <c r="I494" s="35">
        <f>H466</f>
        <v>234.35999999999996</v>
      </c>
    </row>
    <row r="495" spans="1:9" x14ac:dyDescent="0.25">
      <c r="A495" s="9"/>
      <c r="B495" s="36">
        <f>-(B494+C494)*B493</f>
        <v>-110.61019218354272</v>
      </c>
      <c r="C495" s="46">
        <f>-(C494+B494)*C493</f>
        <v>-123.74980781645725</v>
      </c>
      <c r="D495" s="9"/>
      <c r="E495" s="9">
        <v>0</v>
      </c>
      <c r="F495" s="9" t="s">
        <v>58</v>
      </c>
      <c r="G495" s="9"/>
      <c r="H495" s="38">
        <f>-(H494+I494)*H493</f>
        <v>-123.74980781645725</v>
      </c>
      <c r="I495" s="39">
        <f>-(I494+H494)*I493</f>
        <v>-110.61019218354272</v>
      </c>
    </row>
    <row r="496" spans="1:9" x14ac:dyDescent="0.25">
      <c r="A496" s="9"/>
      <c r="B496" s="36">
        <f>B476/2</f>
        <v>-68.745599999999982</v>
      </c>
      <c r="C496" s="37">
        <f>H495/2</f>
        <v>-61.874903908228625</v>
      </c>
      <c r="D496" s="9"/>
      <c r="E496" s="9"/>
      <c r="F496" s="9"/>
      <c r="G496" s="9"/>
      <c r="H496" s="38">
        <f>C495/2</f>
        <v>-61.874903908228625</v>
      </c>
      <c r="I496" s="39">
        <f>I476/2</f>
        <v>-68.745599999999982</v>
      </c>
    </row>
    <row r="497" spans="1:9" x14ac:dyDescent="0.25">
      <c r="A497" s="9"/>
      <c r="B497" s="36">
        <f>-(B496+C496)*B493</f>
        <v>61.648570747569394</v>
      </c>
      <c r="C497" s="37">
        <f>-(B496+C496)*C493</f>
        <v>68.971933160659233</v>
      </c>
      <c r="D497" s="9"/>
      <c r="E497" s="9"/>
      <c r="F497" s="9"/>
      <c r="G497" s="9"/>
      <c r="H497" s="38">
        <f>-(H496+I496)*H493</f>
        <v>68.971933160659233</v>
      </c>
      <c r="I497" s="39">
        <f>-(I496+H496)*I493</f>
        <v>61.648570747569394</v>
      </c>
    </row>
    <row r="498" spans="1:9" x14ac:dyDescent="0.25">
      <c r="A498" s="9"/>
      <c r="B498" s="36">
        <f>B478/2</f>
        <v>30.430252186919596</v>
      </c>
      <c r="C498" s="37">
        <f>H497/2</f>
        <v>34.485966580329617</v>
      </c>
      <c r="D498" s="9"/>
      <c r="E498" s="9"/>
      <c r="F498" s="9"/>
      <c r="G498" s="9"/>
      <c r="H498" s="38">
        <f>C497/2</f>
        <v>34.485966580329617</v>
      </c>
      <c r="I498" s="39">
        <f>I478/2</f>
        <v>30.430252186919596</v>
      </c>
    </row>
    <row r="499" spans="1:9" x14ac:dyDescent="0.25">
      <c r="A499" s="9"/>
      <c r="B499" s="36">
        <f>-(B498+C498)*B493</f>
        <v>-30.638314702484806</v>
      </c>
      <c r="C499" s="37">
        <f>-(B498+C498)*C493</f>
        <v>-34.277904064764407</v>
      </c>
      <c r="D499" s="9"/>
      <c r="E499" s="9"/>
      <c r="F499" s="9"/>
      <c r="G499" s="9"/>
      <c r="H499" s="38">
        <f>-(H498+I498)*H493</f>
        <v>-34.277904064764407</v>
      </c>
      <c r="I499" s="39">
        <f>-(H498+I498)*I493</f>
        <v>-30.638314702484806</v>
      </c>
    </row>
    <row r="500" spans="1:9" x14ac:dyDescent="0.25">
      <c r="A500" s="9"/>
      <c r="B500" s="36">
        <f>B480/2</f>
        <v>-15.330709161606894</v>
      </c>
      <c r="C500" s="37">
        <f>H499/2</f>
        <v>-17.138952032382203</v>
      </c>
      <c r="D500" s="9"/>
      <c r="E500" s="9"/>
      <c r="F500" s="9"/>
      <c r="G500" s="9"/>
      <c r="H500" s="38">
        <f>C499/2</f>
        <v>-17.138952032382203</v>
      </c>
      <c r="I500" s="39">
        <f>I480/2</f>
        <v>-15.330709161606894</v>
      </c>
    </row>
    <row r="501" spans="1:9" x14ac:dyDescent="0.25">
      <c r="A501" s="9"/>
      <c r="B501" s="36">
        <f>-(B500+C500)*B493</f>
        <v>15.32460942482358</v>
      </c>
      <c r="C501" s="37">
        <f>-(C500+B500)*C493</f>
        <v>17.145051769165519</v>
      </c>
      <c r="D501" s="9"/>
      <c r="E501" s="9"/>
      <c r="F501" s="9"/>
      <c r="G501" s="9"/>
      <c r="H501" s="38">
        <f>-(H500+I500)*H493</f>
        <v>17.145051769165519</v>
      </c>
      <c r="I501" s="39">
        <f>-(H500+I500)*I493</f>
        <v>15.32460942482358</v>
      </c>
    </row>
    <row r="502" spans="1:9" x14ac:dyDescent="0.25">
      <c r="A502" s="9"/>
      <c r="B502" s="36">
        <f>B482/2</f>
        <v>7.6619660497631958</v>
      </c>
      <c r="C502" s="37">
        <f>H501/2</f>
        <v>8.5725258845827597</v>
      </c>
      <c r="D502" s="9"/>
      <c r="E502" s="9"/>
      <c r="F502" s="9"/>
      <c r="G502" s="9"/>
      <c r="H502" s="38">
        <f>C501/2</f>
        <v>8.5725258845827597</v>
      </c>
      <c r="I502" s="39">
        <f>I482/2</f>
        <v>7.6619660497631958</v>
      </c>
    </row>
    <row r="503" spans="1:9" x14ac:dyDescent="0.25">
      <c r="A503" s="9"/>
      <c r="B503" s="36">
        <f>-(B502+C502)*B493</f>
        <v>-7.6621448748087584</v>
      </c>
      <c r="C503" s="37">
        <f>-(C502+B502)*C493</f>
        <v>-8.5723470595371971</v>
      </c>
      <c r="D503" s="9"/>
      <c r="E503" s="9"/>
      <c r="F503" s="9"/>
      <c r="G503" s="9"/>
      <c r="H503" s="38">
        <f>-(H502+I502)*H493</f>
        <v>-8.5723470595371971</v>
      </c>
      <c r="I503" s="39">
        <f>-(H502+I502)*I493</f>
        <v>-7.6621448748087584</v>
      </c>
    </row>
    <row r="504" spans="1:9" x14ac:dyDescent="0.25">
      <c r="A504" s="9"/>
      <c r="B504" s="36">
        <f>B484/2</f>
        <v>-3.8310823659251851</v>
      </c>
      <c r="C504" s="37">
        <f>H503/2</f>
        <v>-4.2861735297685986</v>
      </c>
      <c r="D504" s="9"/>
      <c r="E504" s="9"/>
      <c r="F504" s="9"/>
      <c r="G504" s="9"/>
      <c r="H504" s="38">
        <f>C503/2</f>
        <v>-4.2861735297685986</v>
      </c>
      <c r="I504" s="39">
        <f>I484/2</f>
        <v>-3.8310823659251851</v>
      </c>
    </row>
    <row r="505" spans="1:9" x14ac:dyDescent="0.25">
      <c r="A505" s="9"/>
      <c r="B505" s="36">
        <f>-(B504+C504)*B493</f>
        <v>3.8310771233388157</v>
      </c>
      <c r="C505" s="37">
        <f>-(C504+B504)*C493</f>
        <v>4.2861787723549689</v>
      </c>
      <c r="D505" s="9"/>
      <c r="E505" s="9"/>
      <c r="F505" s="9"/>
      <c r="G505" s="9"/>
      <c r="H505" s="38">
        <f>-(H504+I504)*H493</f>
        <v>4.2861787723549689</v>
      </c>
      <c r="I505" s="39">
        <f>-(I504+H504)*I493</f>
        <v>3.8310771233388157</v>
      </c>
    </row>
    <row r="506" spans="1:9" x14ac:dyDescent="0.25">
      <c r="A506" s="9"/>
      <c r="B506" s="36">
        <f>B486/2</f>
        <v>1.9155382705964896</v>
      </c>
      <c r="C506" s="37">
        <f>H505/2</f>
        <v>2.1430893861774845</v>
      </c>
      <c r="D506" s="9"/>
      <c r="E506" s="9"/>
      <c r="F506" s="9"/>
      <c r="G506" s="9"/>
      <c r="H506" s="38">
        <f>C505/2</f>
        <v>2.1430893861774845</v>
      </c>
      <c r="I506" s="39">
        <f>I486/2</f>
        <v>1.9155382705964896</v>
      </c>
    </row>
    <row r="507" spans="1:9" ht="15.75" thickBot="1" x14ac:dyDescent="0.3">
      <c r="A507" s="9"/>
      <c r="B507" s="15">
        <f>-(B506+C506)*B493</f>
        <v>-1.9155384242925886</v>
      </c>
      <c r="C507" s="40">
        <f>-(C506+B506)*C493</f>
        <v>-2.1430892324813859</v>
      </c>
      <c r="D507" s="9"/>
      <c r="E507" s="9"/>
      <c r="F507" s="9"/>
      <c r="G507" s="9"/>
      <c r="H507" s="41">
        <f>-(H506+I506)*H493</f>
        <v>-2.1430892324813859</v>
      </c>
      <c r="I507" s="13">
        <f>-(H506+I506)*I493</f>
        <v>-1.9155384242925886</v>
      </c>
    </row>
    <row r="508" spans="1:9" ht="16.5" thickTop="1" thickBot="1" x14ac:dyDescent="0.3">
      <c r="A508" s="9"/>
      <c r="B508" s="60">
        <f>SUM(B494:B507)</f>
        <v>116.43843209035009</v>
      </c>
      <c r="C508" s="53">
        <f>SUM(C494:C507)</f>
        <v>-116.43843209035009</v>
      </c>
      <c r="D508" s="9"/>
      <c r="E508" s="9"/>
      <c r="F508" s="9"/>
      <c r="G508" s="9"/>
      <c r="H508" s="58">
        <f>SUM(H494:H507)</f>
        <v>-116.43843209035009</v>
      </c>
      <c r="I508" s="59">
        <f>SUM(I494:I507)</f>
        <v>116.43843209035009</v>
      </c>
    </row>
    <row r="509" spans="1:9" x14ac:dyDescent="0.25">
      <c r="A509" s="9"/>
      <c r="B509" s="9"/>
      <c r="C509" s="23"/>
      <c r="D509" s="51"/>
      <c r="E509" s="9"/>
      <c r="F509" s="9"/>
      <c r="G509" s="9"/>
      <c r="H509" s="9"/>
      <c r="I509" s="23"/>
    </row>
    <row r="510" spans="1:9" x14ac:dyDescent="0.25">
      <c r="A510" s="9"/>
      <c r="B510" s="9" t="s">
        <v>52</v>
      </c>
      <c r="C510" s="9"/>
      <c r="D510" s="9"/>
      <c r="E510" s="9"/>
      <c r="F510" s="9"/>
      <c r="G510" s="9"/>
      <c r="H510" s="9"/>
      <c r="I510" s="9"/>
    </row>
    <row r="511" spans="1:9" x14ac:dyDescent="0.25">
      <c r="A511" s="9"/>
      <c r="B511" s="9"/>
      <c r="C511" s="9"/>
      <c r="D511" s="9"/>
      <c r="E511" s="9"/>
      <c r="F511" s="9"/>
      <c r="G511" s="9"/>
      <c r="H511" s="9"/>
      <c r="I511" s="9"/>
    </row>
    <row r="512" spans="1:9" x14ac:dyDescent="0.25">
      <c r="A512" s="9"/>
      <c r="B512" s="9" t="s">
        <v>34</v>
      </c>
      <c r="C512" s="9" t="s">
        <v>53</v>
      </c>
      <c r="D512" s="9"/>
      <c r="E512" s="9"/>
      <c r="F512" s="9"/>
      <c r="G512" s="9"/>
      <c r="H512" s="9"/>
      <c r="I512" s="9"/>
    </row>
    <row r="513" spans="1:9" x14ac:dyDescent="0.25">
      <c r="A513" s="9"/>
      <c r="B513" s="9" t="s">
        <v>48</v>
      </c>
      <c r="C513" s="9" t="s">
        <v>54</v>
      </c>
      <c r="D513" s="9"/>
      <c r="E513" s="9"/>
      <c r="F513" s="9"/>
      <c r="G513" s="9"/>
      <c r="H513" s="9"/>
      <c r="I513" s="9"/>
    </row>
    <row r="514" spans="1:9" x14ac:dyDescent="0.25">
      <c r="A514" s="9"/>
      <c r="B514" s="9" t="s">
        <v>50</v>
      </c>
      <c r="C514" s="9" t="s">
        <v>51</v>
      </c>
      <c r="D514" s="9"/>
      <c r="E514" s="9"/>
      <c r="F514" s="9"/>
      <c r="G514" s="9"/>
      <c r="H514" s="9"/>
      <c r="I514" s="9"/>
    </row>
    <row r="515" spans="1:9" x14ac:dyDescent="0.25">
      <c r="A515" s="9"/>
      <c r="B515" s="9"/>
      <c r="C515" s="9"/>
      <c r="D515" s="9"/>
      <c r="E515" s="9"/>
      <c r="F515" s="9"/>
      <c r="G515" s="9"/>
      <c r="H515" s="9"/>
      <c r="I515" s="9"/>
    </row>
    <row r="516" spans="1:9" ht="15.75" thickBot="1" x14ac:dyDescent="0.3">
      <c r="A516" s="9"/>
      <c r="B516" s="9"/>
      <c r="C516" s="9"/>
      <c r="D516" s="9"/>
      <c r="E516" s="9"/>
      <c r="F516" s="9"/>
      <c r="G516" s="9"/>
      <c r="H516" s="9"/>
      <c r="I516" s="9"/>
    </row>
    <row r="517" spans="1:9" ht="36.75" thickBot="1" x14ac:dyDescent="0.3">
      <c r="A517" s="9"/>
      <c r="B517" s="63" t="s">
        <v>119</v>
      </c>
      <c r="C517" s="64" t="s">
        <v>120</v>
      </c>
      <c r="D517" s="64" t="s">
        <v>106</v>
      </c>
      <c r="E517" s="64" t="s">
        <v>107</v>
      </c>
      <c r="F517" s="64" t="s">
        <v>108</v>
      </c>
      <c r="G517" s="64" t="s">
        <v>109</v>
      </c>
      <c r="H517" s="65" t="s">
        <v>121</v>
      </c>
      <c r="I517" s="66"/>
    </row>
    <row r="518" spans="1:9" x14ac:dyDescent="0.25">
      <c r="A518" s="9"/>
      <c r="B518" s="171" t="s">
        <v>115</v>
      </c>
      <c r="C518" s="67" t="s">
        <v>37</v>
      </c>
      <c r="D518" s="68">
        <f>ABS(B232)</f>
        <v>173.79431483282571</v>
      </c>
      <c r="E518" s="68">
        <f>ABS(B324)</f>
        <v>151.85639920996917</v>
      </c>
      <c r="F518" s="68">
        <f>ABS(B416)</f>
        <v>141.09136940297554</v>
      </c>
      <c r="G518" s="68">
        <f>MAX(D518,E518,F518)</f>
        <v>173.79431483282571</v>
      </c>
      <c r="H518" s="69"/>
      <c r="I518" s="70"/>
    </row>
    <row r="519" spans="1:9" ht="24" x14ac:dyDescent="0.25">
      <c r="A519" s="9"/>
      <c r="B519" s="172"/>
      <c r="C519" s="71" t="s">
        <v>114</v>
      </c>
      <c r="D519" s="70">
        <f>ABS(D202)</f>
        <v>93.044320312499963</v>
      </c>
      <c r="E519" s="70">
        <f>ABS(D294)</f>
        <v>38.988070312499978</v>
      </c>
      <c r="F519" s="70">
        <f>ABS(D386)</f>
        <v>9.7976953124999895</v>
      </c>
      <c r="G519" s="70">
        <f>MIN(D519,E519,F519)</f>
        <v>9.7976953124999895</v>
      </c>
      <c r="H519" s="72">
        <f>MAX(ABS(D519-(D518+D520)/2),ABS(E519-(E518+E520)/2),ABS(F519-(F518+F520)/2))</f>
        <v>149.52851332629393</v>
      </c>
      <c r="I519" s="70"/>
    </row>
    <row r="520" spans="1:9" ht="15.75" thickBot="1" x14ac:dyDescent="0.3">
      <c r="A520" s="9"/>
      <c r="B520" s="173"/>
      <c r="C520" s="73" t="s">
        <v>38</v>
      </c>
      <c r="D520" s="74">
        <f>ABS(B213)</f>
        <v>197.77300271523669</v>
      </c>
      <c r="E520" s="74">
        <f>ABS(B305)</f>
        <v>185.15455108831591</v>
      </c>
      <c r="F520" s="74">
        <f>ABS(B397)</f>
        <v>177.56104787461231</v>
      </c>
      <c r="G520" s="74">
        <f>MAX(D520,E520,F520)</f>
        <v>197.77300271523669</v>
      </c>
      <c r="H520" s="75"/>
      <c r="I520" s="70"/>
    </row>
    <row r="521" spans="1:9" x14ac:dyDescent="0.25">
      <c r="A521" s="9"/>
      <c r="B521" s="171" t="s">
        <v>116</v>
      </c>
      <c r="C521" s="67" t="s">
        <v>39</v>
      </c>
      <c r="D521" s="68">
        <f>ABS(C213)</f>
        <v>197.77300271523669</v>
      </c>
      <c r="E521" s="68">
        <f>ABS(C305)</f>
        <v>185.15455108831594</v>
      </c>
      <c r="F521" s="68">
        <f>ABS(C397)</f>
        <v>177.56104787461234</v>
      </c>
      <c r="G521" s="68">
        <f>MAX(D521,E521,F521)</f>
        <v>197.77300271523669</v>
      </c>
      <c r="H521" s="69"/>
      <c r="I521" s="70"/>
    </row>
    <row r="522" spans="1:9" ht="24" x14ac:dyDescent="0.25">
      <c r="A522" s="9"/>
      <c r="B522" s="172"/>
      <c r="C522" s="71" t="s">
        <v>114</v>
      </c>
      <c r="D522" s="70">
        <f>ABS(E196)</f>
        <v>434.3250531914893</v>
      </c>
      <c r="E522" s="70">
        <f>ABS(E288)</f>
        <v>434.3250531914893</v>
      </c>
      <c r="F522" s="70">
        <f>ABS(E380)</f>
        <v>434.3250531914893</v>
      </c>
      <c r="G522" s="70">
        <f>MIN(D522,E522,F522)</f>
        <v>434.3250531914893</v>
      </c>
      <c r="H522" s="72">
        <f>MAX(ABS(D522-(D521+D523)/2),ABS(E522-(E521+E523)/2),ABS(F522-(F521+F523)/2))</f>
        <v>256.79750193697498</v>
      </c>
      <c r="I522" s="70"/>
    </row>
    <row r="523" spans="1:9" ht="15.75" thickBot="1" x14ac:dyDescent="0.3">
      <c r="A523" s="9"/>
      <c r="B523" s="173"/>
      <c r="C523" s="73" t="s">
        <v>40</v>
      </c>
      <c r="D523" s="74">
        <f>ABS(H213)</f>
        <v>197.77300271523669</v>
      </c>
      <c r="E523" s="74">
        <f>ABS(H305)</f>
        <v>185.15455108831594</v>
      </c>
      <c r="F523" s="74">
        <f>ABS(H397)</f>
        <v>177.49405463441624</v>
      </c>
      <c r="G523" s="74">
        <f>MAX(D523,E523,F523)</f>
        <v>197.77300271523669</v>
      </c>
      <c r="H523" s="75"/>
      <c r="I523" s="70"/>
    </row>
    <row r="524" spans="1:9" x14ac:dyDescent="0.25">
      <c r="A524" s="9"/>
      <c r="B524" s="171" t="s">
        <v>117</v>
      </c>
      <c r="C524" s="67" t="s">
        <v>41</v>
      </c>
      <c r="D524" s="68">
        <f>ABS(I213)</f>
        <v>197.77300271523669</v>
      </c>
      <c r="E524" s="68">
        <f>ABS(I305)</f>
        <v>185.15455108831591</v>
      </c>
      <c r="F524" s="68">
        <f>ABS(I397)</f>
        <v>177.49405463441616</v>
      </c>
      <c r="G524" s="68">
        <f>MAX(D524,E524,F524)</f>
        <v>197.77300271523669</v>
      </c>
      <c r="H524" s="69"/>
      <c r="I524" s="70"/>
    </row>
    <row r="525" spans="1:9" ht="24" x14ac:dyDescent="0.25">
      <c r="A525" s="9"/>
      <c r="B525" s="172"/>
      <c r="C525" s="71" t="s">
        <v>114</v>
      </c>
      <c r="D525" s="70">
        <f>ABS(G202)</f>
        <v>93.044320312499963</v>
      </c>
      <c r="E525" s="70">
        <f>ABS(G294)</f>
        <v>38.988070312499978</v>
      </c>
      <c r="F525" s="70">
        <f>ABS(G386)</f>
        <v>9.7976953124999895</v>
      </c>
      <c r="G525" s="70">
        <f>MIN(D525,E525,F525)</f>
        <v>9.7976953124999895</v>
      </c>
      <c r="H525" s="72">
        <f>MAX(ABS(D525-(D524+D526)/2),ABS(E525-(E524+E526)/2),ABS(F525-(F524+F526)/2))</f>
        <v>149.27620666130846</v>
      </c>
      <c r="I525" s="70"/>
    </row>
    <row r="526" spans="1:9" ht="15.75" thickBot="1" x14ac:dyDescent="0.3">
      <c r="A526" s="9"/>
      <c r="B526" s="173"/>
      <c r="C526" s="73" t="s">
        <v>42</v>
      </c>
      <c r="D526" s="74">
        <f>ABS(I232)</f>
        <v>173.79431483282571</v>
      </c>
      <c r="E526" s="74">
        <f>ABS(I324)</f>
        <v>151.85639920996917</v>
      </c>
      <c r="F526" s="74">
        <f>ABS(I416)</f>
        <v>140.65374931320076</v>
      </c>
      <c r="G526" s="74">
        <f>MAX(D526,E526,F526)</f>
        <v>173.79431483282571</v>
      </c>
      <c r="H526" s="75"/>
      <c r="I526" s="70"/>
    </row>
    <row r="527" spans="1:9" ht="30" customHeight="1" x14ac:dyDescent="0.25">
      <c r="A527" s="9"/>
      <c r="B527" s="171" t="s">
        <v>118</v>
      </c>
      <c r="C527" s="71" t="s">
        <v>43</v>
      </c>
      <c r="D527" s="70">
        <f>ABS(H232)</f>
        <v>173.79431483282573</v>
      </c>
      <c r="E527" s="70">
        <f>ABS(H324)</f>
        <v>151.85639920996911</v>
      </c>
      <c r="F527" s="70">
        <f>ABS(H416)</f>
        <v>140.65374931320073</v>
      </c>
      <c r="G527" s="70">
        <f>MAX(D527,E527,F527)</f>
        <v>173.79431483282573</v>
      </c>
      <c r="H527" s="72"/>
      <c r="I527" s="70"/>
    </row>
    <row r="528" spans="1:9" ht="24" x14ac:dyDescent="0.25">
      <c r="A528" s="9"/>
      <c r="B528" s="172"/>
      <c r="C528" s="71" t="s">
        <v>114</v>
      </c>
      <c r="D528" s="70">
        <f>ABS(E219)</f>
        <v>457.44904255319142</v>
      </c>
      <c r="E528" s="70">
        <f>ABS(E311)</f>
        <v>457.44904255319142</v>
      </c>
      <c r="F528" s="70">
        <f>ABS(E403)</f>
        <v>457.44904255319142</v>
      </c>
      <c r="G528" s="70">
        <f>MIN(D528,E528,F528)</f>
        <v>457.44904255319142</v>
      </c>
      <c r="H528" s="72">
        <f>MAX(ABS(D528-(D527+D529)/2),ABS(E528-(E527+E529)/2),ABS(F528-(F527+F529)/2))</f>
        <v>316.57648319510326</v>
      </c>
      <c r="I528" s="70"/>
    </row>
    <row r="529" spans="1:9" ht="15.75" thickBot="1" x14ac:dyDescent="0.3">
      <c r="A529" s="9"/>
      <c r="B529" s="173"/>
      <c r="C529" s="73" t="s">
        <v>44</v>
      </c>
      <c r="D529" s="74">
        <f>ABS(C232)</f>
        <v>173.79431483282573</v>
      </c>
      <c r="E529" s="74">
        <f>ABS(C324)</f>
        <v>151.85639920996911</v>
      </c>
      <c r="F529" s="74">
        <f>ABS(C416)</f>
        <v>141.09136940297552</v>
      </c>
      <c r="G529" s="74">
        <f>MAX(D529,E529,F529)</f>
        <v>173.79431483282573</v>
      </c>
      <c r="H529" s="75"/>
      <c r="I529" s="70"/>
    </row>
    <row r="530" spans="1:9" x14ac:dyDescent="0.25">
      <c r="A530" s="9"/>
      <c r="B530" s="9"/>
      <c r="C530" s="9"/>
      <c r="D530" s="9"/>
      <c r="E530" s="9"/>
      <c r="F530" s="9"/>
      <c r="G530" s="9"/>
      <c r="H530" s="9"/>
      <c r="I530" s="9"/>
    </row>
    <row r="531" spans="1:9" x14ac:dyDescent="0.25">
      <c r="A531" s="9"/>
      <c r="B531" s="9"/>
      <c r="C531" s="9"/>
      <c r="D531" s="9"/>
      <c r="E531" s="9"/>
      <c r="F531" s="9"/>
      <c r="G531" s="9"/>
      <c r="H531" s="9"/>
      <c r="I531" s="9"/>
    </row>
    <row r="532" spans="1:9" x14ac:dyDescent="0.25">
      <c r="A532" s="9"/>
      <c r="B532" s="9"/>
      <c r="C532" s="9"/>
      <c r="D532" s="9"/>
      <c r="E532" s="9"/>
      <c r="F532" s="9"/>
      <c r="G532" s="9"/>
      <c r="H532" s="9"/>
      <c r="I532" s="9"/>
    </row>
    <row r="533" spans="1:9" ht="15.75" thickBot="1" x14ac:dyDescent="0.3">
      <c r="A533" s="9"/>
      <c r="B533" s="9"/>
      <c r="C533" s="9"/>
      <c r="D533" s="9"/>
      <c r="E533" s="9"/>
      <c r="F533" s="9"/>
      <c r="G533" s="9"/>
      <c r="H533" s="9"/>
      <c r="I533" s="9"/>
    </row>
    <row r="534" spans="1:9" ht="36.75" thickBot="1" x14ac:dyDescent="0.3">
      <c r="A534" s="9"/>
      <c r="B534" s="76"/>
      <c r="C534" s="77" t="s">
        <v>133</v>
      </c>
      <c r="D534" s="77" t="s">
        <v>134</v>
      </c>
      <c r="E534" s="64" t="s">
        <v>131</v>
      </c>
      <c r="F534" s="65" t="s">
        <v>132</v>
      </c>
      <c r="G534" s="9"/>
      <c r="H534" s="9"/>
      <c r="I534" s="9"/>
    </row>
    <row r="535" spans="1:9" ht="15.75" thickBot="1" x14ac:dyDescent="0.3">
      <c r="A535" s="9"/>
      <c r="B535" s="78" t="s">
        <v>56</v>
      </c>
      <c r="C535" s="74">
        <f>H522</f>
        <v>256.79750193697498</v>
      </c>
      <c r="D535" s="79">
        <f>MAX(G521,G523)</f>
        <v>197.77300271523669</v>
      </c>
      <c r="E535" s="80">
        <f>ABS(MAX(C489,H489))</f>
        <v>102.59199428558287</v>
      </c>
      <c r="F535" s="81">
        <f>E535+D535</f>
        <v>300.36499700081959</v>
      </c>
      <c r="G535" s="9"/>
      <c r="H535" s="9"/>
      <c r="I535" s="9"/>
    </row>
    <row r="536" spans="1:9" ht="15.75" thickBot="1" x14ac:dyDescent="0.3">
      <c r="A536" s="9"/>
      <c r="B536" s="82" t="s">
        <v>55</v>
      </c>
      <c r="C536" s="83">
        <f>MAX(H519,H525)</f>
        <v>149.52851332629393</v>
      </c>
      <c r="D536" s="84">
        <f>MAX(G518,G520,G524,G526)</f>
        <v>197.77300271523669</v>
      </c>
      <c r="E536" s="80">
        <f>ABS(MAX(B489,B508,I489,I508))</f>
        <v>116.43843209035009</v>
      </c>
      <c r="F536" s="81">
        <f>E536+D536</f>
        <v>314.2114348055868</v>
      </c>
      <c r="G536" s="9"/>
      <c r="H536" s="9"/>
      <c r="I536" s="9"/>
    </row>
    <row r="537" spans="1:9" ht="24.75" thickBot="1" x14ac:dyDescent="0.3">
      <c r="A537" s="9"/>
      <c r="B537" s="85" t="s">
        <v>57</v>
      </c>
      <c r="C537" s="83">
        <f>H528</f>
        <v>316.57648319510326</v>
      </c>
      <c r="D537" s="84">
        <f>MAX(G527,G529)</f>
        <v>173.79431483282573</v>
      </c>
      <c r="E537" s="86">
        <f>ABS(MAX(C508,H508))</f>
        <v>116.43843209035009</v>
      </c>
      <c r="F537" s="87">
        <f>E537+D537</f>
        <v>290.2327469231758</v>
      </c>
      <c r="G537" s="9"/>
      <c r="H537" s="9"/>
      <c r="I537" s="9"/>
    </row>
    <row r="538" spans="1:9" x14ac:dyDescent="0.25">
      <c r="A538" s="9"/>
      <c r="B538" s="88"/>
      <c r="C538" s="89"/>
      <c r="D538" s="89"/>
      <c r="E538" s="89"/>
      <c r="F538" s="89"/>
      <c r="G538" s="9"/>
      <c r="H538" s="9"/>
      <c r="I538" s="9"/>
    </row>
    <row r="539" spans="1:9" x14ac:dyDescent="0.25">
      <c r="A539" s="9"/>
      <c r="B539" s="9"/>
      <c r="C539" s="9"/>
      <c r="D539" s="9"/>
      <c r="E539" s="9"/>
      <c r="F539" s="9"/>
      <c r="G539" s="9"/>
      <c r="H539" s="9"/>
      <c r="I539" s="9"/>
    </row>
    <row r="540" spans="1:9" x14ac:dyDescent="0.25">
      <c r="A540" s="9"/>
      <c r="B540" s="9"/>
      <c r="C540" s="9"/>
      <c r="D540" s="9"/>
      <c r="E540" s="9"/>
      <c r="F540" s="9"/>
      <c r="G540" s="9"/>
      <c r="H540" s="9"/>
      <c r="I540" s="9"/>
    </row>
    <row r="541" spans="1:9" x14ac:dyDescent="0.25">
      <c r="A541" s="9"/>
      <c r="B541" s="9"/>
      <c r="C541" s="9"/>
      <c r="D541" s="9"/>
      <c r="E541" s="9"/>
      <c r="F541" s="9"/>
      <c r="G541" s="9"/>
      <c r="H541" s="9"/>
      <c r="I541" s="9"/>
    </row>
    <row r="542" spans="1:9" x14ac:dyDescent="0.25">
      <c r="A542" s="9"/>
      <c r="B542" s="9"/>
      <c r="C542" s="9"/>
      <c r="D542" s="9"/>
      <c r="E542" s="9"/>
      <c r="F542" s="9"/>
      <c r="G542" s="9"/>
      <c r="H542" s="9"/>
      <c r="I542" s="9"/>
    </row>
    <row r="543" spans="1:9" x14ac:dyDescent="0.25">
      <c r="A543" s="9"/>
      <c r="B543" s="9"/>
      <c r="C543" s="9"/>
      <c r="D543" s="9"/>
      <c r="E543" s="9"/>
      <c r="F543" s="9"/>
      <c r="G543" s="9"/>
      <c r="H543" s="9"/>
      <c r="I543" s="9"/>
    </row>
    <row r="544" spans="1:9" x14ac:dyDescent="0.25">
      <c r="A544" s="9"/>
      <c r="B544" s="9"/>
      <c r="C544" s="9"/>
      <c r="D544" s="9"/>
      <c r="E544" s="9"/>
      <c r="F544" s="9"/>
      <c r="G544" s="9"/>
      <c r="H544" s="9"/>
      <c r="I544" s="9"/>
    </row>
    <row r="545" spans="1:9" x14ac:dyDescent="0.25">
      <c r="A545" s="9"/>
      <c r="B545" s="9"/>
      <c r="C545" s="9"/>
      <c r="D545" s="9"/>
      <c r="E545" s="9"/>
      <c r="F545" s="9"/>
      <c r="G545" s="9"/>
      <c r="H545" s="9"/>
      <c r="I545" s="9"/>
    </row>
    <row r="546" spans="1:9" x14ac:dyDescent="0.25">
      <c r="A546" s="9"/>
      <c r="B546" s="9"/>
      <c r="C546" s="9"/>
      <c r="D546" s="9"/>
      <c r="E546" s="9"/>
      <c r="F546" s="9"/>
      <c r="G546" s="9"/>
      <c r="H546" s="9"/>
      <c r="I546" s="9"/>
    </row>
    <row r="547" spans="1:9" x14ac:dyDescent="0.25">
      <c r="A547" s="9"/>
      <c r="B547" s="9" t="s">
        <v>59</v>
      </c>
      <c r="C547" s="9"/>
      <c r="D547" s="9"/>
      <c r="E547" s="9"/>
      <c r="F547" s="90">
        <f>G80/3</f>
        <v>8.3333333333333339</v>
      </c>
      <c r="G547" s="9"/>
      <c r="H547" s="9"/>
      <c r="I547" s="9"/>
    </row>
    <row r="548" spans="1:9" x14ac:dyDescent="0.25">
      <c r="A548" s="9"/>
      <c r="B548" s="9" t="s">
        <v>60</v>
      </c>
      <c r="C548" s="9"/>
      <c r="D548" s="9"/>
      <c r="E548" s="9"/>
      <c r="F548" s="9">
        <f>IF(G82=500,240,200)</f>
        <v>240</v>
      </c>
      <c r="G548" s="9"/>
      <c r="H548" s="9"/>
      <c r="I548" s="9"/>
    </row>
    <row r="549" spans="1:9" x14ac:dyDescent="0.25">
      <c r="A549" s="9"/>
      <c r="B549" s="9" t="s">
        <v>62</v>
      </c>
      <c r="C549" s="9"/>
      <c r="D549" s="9"/>
      <c r="E549" s="9"/>
      <c r="F549" s="9"/>
      <c r="G549" s="9"/>
      <c r="H549" s="9"/>
      <c r="I549" s="9"/>
    </row>
    <row r="550" spans="1:9" x14ac:dyDescent="0.25">
      <c r="A550" s="9"/>
      <c r="B550" s="9" t="s">
        <v>63</v>
      </c>
      <c r="C550" s="9"/>
      <c r="D550" s="9"/>
      <c r="E550" s="9" t="s">
        <v>16</v>
      </c>
      <c r="F550" s="9">
        <f>G87*F547/(G87*F547+F548)</f>
        <v>0.25773195876288657</v>
      </c>
      <c r="G550" s="9"/>
      <c r="H550" s="9"/>
      <c r="I550" s="9"/>
    </row>
    <row r="551" spans="1:9" x14ac:dyDescent="0.25">
      <c r="A551" s="9"/>
      <c r="B551" s="9" t="s">
        <v>64</v>
      </c>
      <c r="C551" s="9"/>
      <c r="D551" s="9"/>
      <c r="E551" s="9" t="s">
        <v>16</v>
      </c>
      <c r="F551" s="9">
        <f>1-F550/3</f>
        <v>0.91408934707903777</v>
      </c>
      <c r="G551" s="9"/>
      <c r="H551" s="9"/>
      <c r="I551" s="9"/>
    </row>
    <row r="552" spans="1:9" x14ac:dyDescent="0.25">
      <c r="A552" s="9"/>
      <c r="B552" s="9" t="s">
        <v>65</v>
      </c>
      <c r="C552" s="9"/>
      <c r="D552" s="9"/>
      <c r="E552" s="9" t="s">
        <v>16</v>
      </c>
      <c r="F552" s="9">
        <f>0.5*F551*F550*F547</f>
        <v>0.98162515794570204</v>
      </c>
      <c r="G552" s="9"/>
      <c r="H552" s="9"/>
      <c r="I552" s="9"/>
    </row>
    <row r="553" spans="1:9" x14ac:dyDescent="0.25">
      <c r="A553" s="9"/>
      <c r="B553" s="9" t="s">
        <v>56</v>
      </c>
      <c r="C553" s="9"/>
      <c r="D553" s="9"/>
      <c r="E553" s="9"/>
      <c r="F553" s="9"/>
      <c r="G553" s="9"/>
      <c r="H553" s="9"/>
      <c r="I553" s="9"/>
    </row>
    <row r="554" spans="1:9" x14ac:dyDescent="0.25">
      <c r="A554" s="9"/>
      <c r="B554" s="9" t="s">
        <v>67</v>
      </c>
      <c r="C554" s="9"/>
      <c r="D554" s="9"/>
      <c r="E554" s="9" t="s">
        <v>16</v>
      </c>
      <c r="F554" s="91">
        <f>D588</f>
        <v>16</v>
      </c>
      <c r="G554" s="9"/>
      <c r="H554" s="9"/>
      <c r="I554" s="9"/>
    </row>
    <row r="555" spans="1:9" x14ac:dyDescent="0.25">
      <c r="A555" s="9"/>
      <c r="B555" s="9" t="s">
        <v>68</v>
      </c>
      <c r="C555" s="9"/>
      <c r="D555" s="9"/>
      <c r="E555" s="9" t="s">
        <v>16</v>
      </c>
      <c r="F555" s="142">
        <v>50</v>
      </c>
      <c r="G555" s="9"/>
      <c r="H555" s="9"/>
      <c r="I555" s="9"/>
    </row>
    <row r="556" spans="1:9" x14ac:dyDescent="0.25">
      <c r="A556" s="9"/>
      <c r="B556" s="9" t="s">
        <v>66</v>
      </c>
      <c r="C556" s="9"/>
      <c r="D556" s="9"/>
      <c r="E556" s="9" t="s">
        <v>16</v>
      </c>
      <c r="F556" s="90">
        <f>SQRT((C535*10^6)/1000/F552)</f>
        <v>511.47281672040941</v>
      </c>
      <c r="G556" s="9" t="s">
        <v>70</v>
      </c>
      <c r="H556" s="9"/>
      <c r="I556" s="9"/>
    </row>
    <row r="557" spans="1:9" x14ac:dyDescent="0.25">
      <c r="A557" s="9"/>
      <c r="B557" s="9" t="s">
        <v>69</v>
      </c>
      <c r="C557" s="9"/>
      <c r="D557" s="9"/>
      <c r="E557" s="9" t="s">
        <v>16</v>
      </c>
      <c r="F557" s="9">
        <f>G75*1000-F555-F554/2</f>
        <v>542</v>
      </c>
      <c r="G557" s="9" t="s">
        <v>70</v>
      </c>
      <c r="H557" s="153" t="str">
        <f>IF(F557&gt;F556,"SAFE","Increase Thickness")</f>
        <v>SAFE</v>
      </c>
      <c r="I557" s="92"/>
    </row>
    <row r="558" spans="1:9" x14ac:dyDescent="0.25">
      <c r="A558" s="9"/>
      <c r="B558" s="9" t="s">
        <v>72</v>
      </c>
      <c r="C558" s="9"/>
      <c r="D558" s="9"/>
      <c r="E558" s="9" t="s">
        <v>16</v>
      </c>
      <c r="F558" s="93">
        <f>(F535*10^6)/F551/F548/F557</f>
        <v>2526.0977087332749</v>
      </c>
      <c r="G558" s="9" t="s">
        <v>71</v>
      </c>
      <c r="H558" s="9"/>
      <c r="I558" s="9"/>
    </row>
    <row r="559" spans="1:9" x14ac:dyDescent="0.25">
      <c r="A559" s="9"/>
      <c r="B559" s="9" t="s">
        <v>73</v>
      </c>
      <c r="C559" s="9"/>
      <c r="D559" s="9"/>
      <c r="E559" s="9" t="s">
        <v>16</v>
      </c>
      <c r="F559" s="93">
        <f>(C535*10^6)/F551/F548/F557</f>
        <v>2159.6910017103332</v>
      </c>
      <c r="G559" s="9" t="s">
        <v>71</v>
      </c>
      <c r="H559" s="9"/>
      <c r="I559" s="9"/>
    </row>
    <row r="560" spans="1:9" x14ac:dyDescent="0.25">
      <c r="A560" s="9"/>
      <c r="B560" s="9"/>
      <c r="C560" s="9"/>
      <c r="D560" s="9"/>
      <c r="E560" s="9"/>
      <c r="F560" s="11"/>
      <c r="G560" s="9"/>
      <c r="H560" s="9"/>
      <c r="I560" s="9"/>
    </row>
    <row r="561" spans="1:9" x14ac:dyDescent="0.25">
      <c r="A561" s="9"/>
      <c r="B561" s="9" t="s">
        <v>74</v>
      </c>
      <c r="C561" s="9"/>
      <c r="D561" s="9"/>
      <c r="E561" s="9"/>
      <c r="F561" s="9"/>
      <c r="G561" s="9"/>
      <c r="H561" s="9"/>
      <c r="I561" s="9"/>
    </row>
    <row r="562" spans="1:9" x14ac:dyDescent="0.25">
      <c r="A562" s="9"/>
      <c r="B562" s="9" t="s">
        <v>67</v>
      </c>
      <c r="C562" s="9"/>
      <c r="D562" s="9"/>
      <c r="E562" s="9" t="s">
        <v>16</v>
      </c>
      <c r="F562" s="91">
        <f>D584</f>
        <v>16</v>
      </c>
      <c r="G562" s="9"/>
      <c r="H562" s="9"/>
      <c r="I562" s="9"/>
    </row>
    <row r="563" spans="1:9" x14ac:dyDescent="0.25">
      <c r="A563" s="9"/>
      <c r="B563" s="9" t="s">
        <v>68</v>
      </c>
      <c r="C563" s="9"/>
      <c r="D563" s="9"/>
      <c r="E563" s="9" t="s">
        <v>16</v>
      </c>
      <c r="F563" s="142">
        <v>50</v>
      </c>
      <c r="G563" s="9"/>
      <c r="H563" s="9"/>
      <c r="I563" s="9"/>
    </row>
    <row r="564" spans="1:9" x14ac:dyDescent="0.25">
      <c r="A564" s="9"/>
      <c r="B564" s="9" t="s">
        <v>66</v>
      </c>
      <c r="C564" s="9"/>
      <c r="D564" s="9"/>
      <c r="E564" s="9" t="s">
        <v>16</v>
      </c>
      <c r="F564" s="9">
        <f>SQRT((C536*10^6)/1000/F552)</f>
        <v>390.29156692380167</v>
      </c>
      <c r="G564" s="9" t="s">
        <v>70</v>
      </c>
      <c r="H564" s="9"/>
      <c r="I564" s="9"/>
    </row>
    <row r="565" spans="1:9" x14ac:dyDescent="0.25">
      <c r="A565" s="9"/>
      <c r="B565" s="9" t="s">
        <v>69</v>
      </c>
      <c r="C565" s="9"/>
      <c r="D565" s="9"/>
      <c r="E565" s="9" t="s">
        <v>16</v>
      </c>
      <c r="F565" s="9">
        <f>G77*1000-F563-F562/2</f>
        <v>542</v>
      </c>
      <c r="G565" s="9" t="s">
        <v>70</v>
      </c>
      <c r="H565" s="153" t="str">
        <f>IF(F565&gt;F564,"SAFE","Increase Thickness")</f>
        <v>SAFE</v>
      </c>
      <c r="I565" s="9"/>
    </row>
    <row r="566" spans="1:9" x14ac:dyDescent="0.25">
      <c r="A566" s="9"/>
      <c r="B566" s="9" t="s">
        <v>72</v>
      </c>
      <c r="C566" s="9"/>
      <c r="D566" s="9"/>
      <c r="E566" s="9" t="s">
        <v>16</v>
      </c>
      <c r="F566" s="9">
        <f>(F536*10^6)/F551/F548/F565</f>
        <v>2642.5475453054269</v>
      </c>
      <c r="G566" s="9" t="s">
        <v>71</v>
      </c>
      <c r="H566" s="9"/>
      <c r="I566" s="9"/>
    </row>
    <row r="567" spans="1:9" x14ac:dyDescent="0.25">
      <c r="A567" s="9"/>
      <c r="B567" s="9" t="s">
        <v>73</v>
      </c>
      <c r="C567" s="9"/>
      <c r="D567" s="9"/>
      <c r="E567" s="9" t="s">
        <v>16</v>
      </c>
      <c r="F567" s="9">
        <f>(C536*10^6)/F551/F548/F565</f>
        <v>1257.5487779050816</v>
      </c>
      <c r="G567" s="9" t="s">
        <v>71</v>
      </c>
      <c r="H567" s="9"/>
      <c r="I567" s="9"/>
    </row>
    <row r="568" spans="1:9" x14ac:dyDescent="0.25">
      <c r="A568" s="9"/>
      <c r="B568" s="9"/>
      <c r="C568" s="9"/>
      <c r="D568" s="9"/>
      <c r="E568" s="9"/>
      <c r="F568" s="9"/>
      <c r="G568" s="9"/>
      <c r="H568" s="9"/>
      <c r="I568" s="9"/>
    </row>
    <row r="569" spans="1:9" x14ac:dyDescent="0.25">
      <c r="A569" s="9"/>
      <c r="B569" s="9" t="s">
        <v>57</v>
      </c>
      <c r="C569" s="9"/>
      <c r="D569" s="9"/>
      <c r="E569" s="9"/>
      <c r="F569" s="9"/>
      <c r="G569" s="9"/>
      <c r="H569" s="9"/>
      <c r="I569" s="9"/>
    </row>
    <row r="570" spans="1:9" x14ac:dyDescent="0.25">
      <c r="A570" s="9"/>
      <c r="B570" s="9" t="s">
        <v>84</v>
      </c>
      <c r="C570" s="9"/>
      <c r="D570" s="9"/>
      <c r="E570" s="9" t="s">
        <v>16</v>
      </c>
      <c r="F570" s="91">
        <f>D578</f>
        <v>16</v>
      </c>
      <c r="G570" s="9"/>
      <c r="H570" s="9"/>
      <c r="I570" s="9"/>
    </row>
    <row r="571" spans="1:9" x14ac:dyDescent="0.25">
      <c r="A571" s="9"/>
      <c r="B571" s="9" t="s">
        <v>83</v>
      </c>
      <c r="C571" s="9"/>
      <c r="D571" s="9"/>
      <c r="E571" s="9"/>
      <c r="F571" s="91">
        <f>D581</f>
        <v>20</v>
      </c>
      <c r="G571" s="9"/>
      <c r="H571" s="9"/>
      <c r="I571" s="9"/>
    </row>
    <row r="572" spans="1:9" x14ac:dyDescent="0.25">
      <c r="A572" s="9"/>
      <c r="B572" s="9" t="s">
        <v>68</v>
      </c>
      <c r="C572" s="9"/>
      <c r="D572" s="9"/>
      <c r="E572" s="9" t="s">
        <v>16</v>
      </c>
      <c r="F572" s="142">
        <v>75</v>
      </c>
      <c r="G572" s="9"/>
      <c r="H572" s="9"/>
      <c r="I572" s="9"/>
    </row>
    <row r="573" spans="1:9" x14ac:dyDescent="0.25">
      <c r="A573" s="9"/>
      <c r="B573" s="9" t="s">
        <v>66</v>
      </c>
      <c r="C573" s="9"/>
      <c r="D573" s="9"/>
      <c r="E573" s="9" t="s">
        <v>16</v>
      </c>
      <c r="F573" s="9">
        <f>SQRT((C537*10^6)/1000/F552)</f>
        <v>567.89296008722113</v>
      </c>
      <c r="G573" s="9" t="s">
        <v>70</v>
      </c>
      <c r="H573" s="9"/>
      <c r="I573" s="9"/>
    </row>
    <row r="574" spans="1:9" x14ac:dyDescent="0.25">
      <c r="A574" s="9"/>
      <c r="B574" s="9" t="s">
        <v>85</v>
      </c>
      <c r="C574" s="9"/>
      <c r="D574" s="9"/>
      <c r="E574" s="9" t="s">
        <v>16</v>
      </c>
      <c r="F574" s="9">
        <f>G76*1000-F572-F571/2</f>
        <v>615</v>
      </c>
      <c r="G574" s="9" t="s">
        <v>70</v>
      </c>
      <c r="H574" s="153" t="str">
        <f>IF(F574&gt;F573,"SAFE","Increase Thickness")</f>
        <v>SAFE</v>
      </c>
      <c r="I574" s="9"/>
    </row>
    <row r="575" spans="1:9" x14ac:dyDescent="0.25">
      <c r="A575" s="9"/>
      <c r="B575" s="9" t="s">
        <v>72</v>
      </c>
      <c r="C575" s="9"/>
      <c r="D575" s="9"/>
      <c r="E575" s="9" t="s">
        <v>16</v>
      </c>
      <c r="F575" s="9">
        <f>(F537*10^6)/F551/F548/F574</f>
        <v>2151.1535279928526</v>
      </c>
      <c r="G575" s="9" t="s">
        <v>71</v>
      </c>
      <c r="H575" s="9"/>
      <c r="I575" s="9"/>
    </row>
    <row r="576" spans="1:9" ht="15.75" thickBot="1" x14ac:dyDescent="0.3">
      <c r="A576" s="9"/>
      <c r="B576" s="9" t="s">
        <v>73</v>
      </c>
      <c r="C576" s="9"/>
      <c r="D576" s="9"/>
      <c r="E576" s="9" t="s">
        <v>16</v>
      </c>
      <c r="F576" s="9">
        <f>(C537*10^6)/F551/F548/F574</f>
        <v>2346.4086183389131</v>
      </c>
      <c r="G576" s="9" t="s">
        <v>71</v>
      </c>
      <c r="H576" s="9"/>
      <c r="I576" s="9"/>
    </row>
    <row r="577" spans="1:9" ht="18.75" thickBot="1" x14ac:dyDescent="0.3">
      <c r="A577" s="9"/>
      <c r="B577" s="94" t="s">
        <v>75</v>
      </c>
      <c r="C577" s="95" t="s">
        <v>79</v>
      </c>
      <c r="D577" s="95" t="s">
        <v>78</v>
      </c>
      <c r="E577" s="95" t="s">
        <v>77</v>
      </c>
      <c r="F577" s="95" t="s">
        <v>80</v>
      </c>
      <c r="G577" s="95" t="s">
        <v>81</v>
      </c>
      <c r="H577" s="180" t="s">
        <v>90</v>
      </c>
      <c r="I577" s="181"/>
    </row>
    <row r="578" spans="1:9" x14ac:dyDescent="0.25">
      <c r="A578" s="9"/>
      <c r="B578" s="63">
        <v>1</v>
      </c>
      <c r="C578" s="89"/>
      <c r="D578" s="146">
        <v>16</v>
      </c>
      <c r="E578" s="146">
        <v>190</v>
      </c>
      <c r="F578" s="96"/>
      <c r="G578" s="97">
        <f>PI()*D578*D578/4*1000/E578</f>
        <v>1058.2206833144567</v>
      </c>
      <c r="H578" s="64"/>
      <c r="I578" s="64"/>
    </row>
    <row r="579" spans="1:9" x14ac:dyDescent="0.25">
      <c r="A579" s="9"/>
      <c r="B579" s="98" t="s">
        <v>76</v>
      </c>
      <c r="C579" s="66" t="s">
        <v>86</v>
      </c>
      <c r="D579" s="66"/>
      <c r="E579" s="66"/>
      <c r="F579" s="99">
        <f>MAX(F575,F566)</f>
        <v>2642.5475453054269</v>
      </c>
      <c r="G579" s="99">
        <f>G578+G580</f>
        <v>2711.6905009932952</v>
      </c>
      <c r="H579" s="176" t="str">
        <f>IF(G579&gt;F579,"OK","Steel Required")</f>
        <v>OK</v>
      </c>
      <c r="I579" s="176"/>
    </row>
    <row r="580" spans="1:9" ht="15.75" thickBot="1" x14ac:dyDescent="0.3">
      <c r="A580" s="9"/>
      <c r="B580" s="100">
        <v>2</v>
      </c>
      <c r="C580" s="101"/>
      <c r="D580" s="147">
        <v>20</v>
      </c>
      <c r="E580" s="102">
        <f>E578</f>
        <v>190</v>
      </c>
      <c r="F580" s="103"/>
      <c r="G580" s="104">
        <f>PI()*D580*D580/4*1000/E580</f>
        <v>1653.4698176788386</v>
      </c>
      <c r="H580" s="101"/>
      <c r="I580" s="101"/>
    </row>
    <row r="581" spans="1:9" x14ac:dyDescent="0.25">
      <c r="A581" s="9"/>
      <c r="B581" s="63">
        <v>3</v>
      </c>
      <c r="C581" s="64"/>
      <c r="D581" s="146">
        <v>20</v>
      </c>
      <c r="E581" s="146">
        <v>250</v>
      </c>
      <c r="F581" s="105"/>
      <c r="G581" s="106">
        <f>PI()*D581*D581/4*1000/E581</f>
        <v>1256.6370614359173</v>
      </c>
      <c r="H581" s="64"/>
      <c r="I581" s="64"/>
    </row>
    <row r="582" spans="1:9" x14ac:dyDescent="0.25">
      <c r="A582" s="9"/>
      <c r="B582" s="98" t="s">
        <v>76</v>
      </c>
      <c r="C582" s="66" t="s">
        <v>82</v>
      </c>
      <c r="D582" s="66"/>
      <c r="E582" s="66"/>
      <c r="F582" s="99">
        <f>F576</f>
        <v>2346.4086183389131</v>
      </c>
      <c r="G582" s="99">
        <f>G581+G583</f>
        <v>2513.2741228718346</v>
      </c>
      <c r="H582" s="176" t="str">
        <f>IF(G582&gt;F582,"OK","Steel Required")</f>
        <v>OK</v>
      </c>
      <c r="I582" s="176"/>
    </row>
    <row r="583" spans="1:9" ht="15.75" thickBot="1" x14ac:dyDescent="0.3">
      <c r="A583" s="9"/>
      <c r="B583" s="100">
        <v>4</v>
      </c>
      <c r="C583" s="107"/>
      <c r="D583" s="147">
        <v>20</v>
      </c>
      <c r="E583" s="102">
        <f>E581</f>
        <v>250</v>
      </c>
      <c r="F583" s="103"/>
      <c r="G583" s="104">
        <f>PI()*D583*D583/4*1000/E583</f>
        <v>1256.6370614359173</v>
      </c>
      <c r="H583" s="101"/>
      <c r="I583" s="101"/>
    </row>
    <row r="584" spans="1:9" ht="15.75" thickBot="1" x14ac:dyDescent="0.3">
      <c r="A584" s="9"/>
      <c r="B584" s="85">
        <v>5</v>
      </c>
      <c r="C584" s="77" t="s">
        <v>89</v>
      </c>
      <c r="D584" s="148">
        <v>16</v>
      </c>
      <c r="E584" s="148">
        <v>150</v>
      </c>
      <c r="F584" s="108">
        <f>F567</f>
        <v>1257.5487779050816</v>
      </c>
      <c r="G584" s="109">
        <f>PI()*D584*D584/4*1000/E584</f>
        <v>1340.4128655316449</v>
      </c>
      <c r="H584" s="176" t="str">
        <f>IF(G584&gt;F584,"OK","Steel Required")</f>
        <v>OK</v>
      </c>
      <c r="I584" s="176"/>
    </row>
    <row r="585" spans="1:9" x14ac:dyDescent="0.25">
      <c r="A585" s="9"/>
      <c r="B585" s="63">
        <v>2</v>
      </c>
      <c r="C585" s="64"/>
      <c r="D585" s="110">
        <f>D580</f>
        <v>20</v>
      </c>
      <c r="E585" s="110">
        <f>E580</f>
        <v>190</v>
      </c>
      <c r="F585" s="105"/>
      <c r="G585" s="106">
        <f>PI()*D585*D585/4*1000/E585</f>
        <v>1653.4698176788386</v>
      </c>
      <c r="H585" s="64"/>
      <c r="I585" s="64"/>
    </row>
    <row r="586" spans="1:9" x14ac:dyDescent="0.25">
      <c r="A586" s="9"/>
      <c r="B586" s="98" t="s">
        <v>76</v>
      </c>
      <c r="C586" s="66" t="s">
        <v>88</v>
      </c>
      <c r="D586" s="9"/>
      <c r="E586" s="9"/>
      <c r="F586" s="99">
        <f>MAX(F558,F566)</f>
        <v>2642.5475453054269</v>
      </c>
      <c r="G586" s="111">
        <f>G585+G587</f>
        <v>2711.6905009932952</v>
      </c>
      <c r="H586" s="176" t="str">
        <f>IF(G586&gt;F586,"OK","Steel Required")</f>
        <v>OK</v>
      </c>
      <c r="I586" s="176"/>
    </row>
    <row r="587" spans="1:9" ht="15.75" thickBot="1" x14ac:dyDescent="0.3">
      <c r="A587" s="9"/>
      <c r="B587" s="100">
        <v>8</v>
      </c>
      <c r="C587" s="101"/>
      <c r="D587" s="147">
        <v>16</v>
      </c>
      <c r="E587" s="102">
        <f>E585</f>
        <v>190</v>
      </c>
      <c r="F587" s="103"/>
      <c r="G587" s="104">
        <f>PI()*D587*D587/4*1000/E587</f>
        <v>1058.2206833144567</v>
      </c>
      <c r="H587" s="101"/>
      <c r="I587" s="101"/>
    </row>
    <row r="588" spans="1:9" x14ac:dyDescent="0.25">
      <c r="A588" s="9"/>
      <c r="B588" s="112">
        <v>6</v>
      </c>
      <c r="C588" s="11"/>
      <c r="D588" s="149">
        <v>16</v>
      </c>
      <c r="E588" s="149">
        <v>170</v>
      </c>
      <c r="F588" s="111"/>
      <c r="G588" s="113">
        <f>PI()*D588*D588/4*1000/E588</f>
        <v>1182.7172342926278</v>
      </c>
      <c r="H588" s="96"/>
      <c r="I588" s="96"/>
    </row>
    <row r="589" spans="1:9" x14ac:dyDescent="0.25">
      <c r="A589" s="9"/>
      <c r="B589" s="112" t="s">
        <v>76</v>
      </c>
      <c r="C589" s="11" t="s">
        <v>87</v>
      </c>
      <c r="D589" s="11"/>
      <c r="E589" s="11"/>
      <c r="F589" s="111">
        <f>F559</f>
        <v>2159.6910017103332</v>
      </c>
      <c r="G589" s="111">
        <f>G588+G590</f>
        <v>2365.4344685852557</v>
      </c>
      <c r="H589" s="176" t="str">
        <f>IF(G589&gt;F589,"OK","Steel Required")</f>
        <v>OK</v>
      </c>
      <c r="I589" s="177"/>
    </row>
    <row r="590" spans="1:9" x14ac:dyDescent="0.25">
      <c r="A590" s="9"/>
      <c r="B590" s="112">
        <v>7</v>
      </c>
      <c r="C590" s="11"/>
      <c r="D590" s="149">
        <v>16</v>
      </c>
      <c r="E590" s="114">
        <f>E588</f>
        <v>170</v>
      </c>
      <c r="F590" s="11"/>
      <c r="G590" s="115">
        <f>PI()*D590*D590/4*1000/E590</f>
        <v>1182.7172342926278</v>
      </c>
      <c r="H590" s="11"/>
      <c r="I590" s="11"/>
    </row>
    <row r="591" spans="1:9" ht="15.75" thickBot="1" x14ac:dyDescent="0.3">
      <c r="A591" s="9"/>
      <c r="B591" s="10" t="s">
        <v>91</v>
      </c>
      <c r="C591" s="11"/>
      <c r="D591" s="11"/>
      <c r="E591" s="11"/>
      <c r="F591" s="11"/>
      <c r="G591" s="11"/>
      <c r="H591" s="11"/>
      <c r="I591" s="11"/>
    </row>
    <row r="592" spans="1:9" ht="24.75" thickBot="1" x14ac:dyDescent="0.3">
      <c r="A592" s="9"/>
      <c r="B592" s="116" t="s">
        <v>99</v>
      </c>
      <c r="C592" s="117" t="s">
        <v>92</v>
      </c>
      <c r="D592" s="117" t="s">
        <v>93</v>
      </c>
      <c r="E592" s="117" t="s">
        <v>94</v>
      </c>
      <c r="F592" s="117" t="s">
        <v>95</v>
      </c>
      <c r="G592" s="117" t="s">
        <v>96</v>
      </c>
      <c r="H592" s="117" t="s">
        <v>97</v>
      </c>
      <c r="I592" s="118" t="s">
        <v>98</v>
      </c>
    </row>
    <row r="593" spans="1:9" ht="30.75" customHeight="1" thickBot="1" x14ac:dyDescent="0.3">
      <c r="A593" s="9"/>
      <c r="B593" s="119" t="s">
        <v>56</v>
      </c>
      <c r="C593" s="120">
        <f>MAX(F174,F238,E330)*(G71-(G75-(F555/1000+F554/2000)+0.05)*2)*0.5</f>
        <v>192.0761667741242</v>
      </c>
      <c r="D593" s="121">
        <f>C593/F557</f>
        <v>0.35438407153897455</v>
      </c>
      <c r="E593" s="120">
        <f>G586*100/1000/F557</f>
        <v>0.50031190055226848</v>
      </c>
      <c r="F593" s="150">
        <v>0.31</v>
      </c>
      <c r="G593" s="122" t="str">
        <f>IF(F593&gt;D593,"Safe","Provide Strripus")</f>
        <v>Provide Strripus</v>
      </c>
      <c r="H593" s="123">
        <f>IF((D593-F593)*1000*F557&gt;0,(D593-F593)*1000*F557,"-")</f>
        <v>24056.166774124213</v>
      </c>
      <c r="I593" s="124">
        <f>IF((D593-F593)*1000*F557&gt;0,H593/F548,"-")</f>
        <v>100.23402822551755</v>
      </c>
    </row>
    <row r="594" spans="1:9" ht="30.75" customHeight="1" thickBot="1" x14ac:dyDescent="0.3">
      <c r="A594" s="9"/>
      <c r="B594" s="116" t="s">
        <v>74</v>
      </c>
      <c r="C594" s="125">
        <f>(C249+D249)*C161/2+B249*C161/6-B249*0.5*F565/C161/1000-(D249+C249)*F565/2000</f>
        <v>57.723749999999995</v>
      </c>
      <c r="D594" s="126">
        <f>C594/F565</f>
        <v>0.10650138376383762</v>
      </c>
      <c r="E594" s="125">
        <f>G579*100/1000/F565</f>
        <v>0.50031190055226848</v>
      </c>
      <c r="F594" s="151">
        <v>0.31</v>
      </c>
      <c r="G594" s="117" t="str">
        <f>IF(F594&gt;D594,"Safe","Provide Strripus")</f>
        <v>Safe</v>
      </c>
      <c r="H594" s="127" t="str">
        <f>IF((D594-F594)*1000*F565&gt;0,(D594-F594)*1000*F565,"-")</f>
        <v>-</v>
      </c>
      <c r="I594" s="118" t="str">
        <f>IF((D594-F594)*1000*F565&gt;0,H594/F548,"-")</f>
        <v>-</v>
      </c>
    </row>
    <row r="595" spans="1:9" ht="30.75" customHeight="1" thickBot="1" x14ac:dyDescent="0.3">
      <c r="A595" s="9"/>
      <c r="B595" s="128" t="s">
        <v>57</v>
      </c>
      <c r="C595" s="129">
        <f>(G71-2*F574/1000-2*0.05)*E342/2</f>
        <v>196.16960777992691</v>
      </c>
      <c r="D595" s="130">
        <f>C595/F574</f>
        <v>0.31897497199988117</v>
      </c>
      <c r="E595" s="129">
        <f>G579*100/1000/F574</f>
        <v>0.44092528471435694</v>
      </c>
      <c r="F595" s="152">
        <v>0.28000000000000003</v>
      </c>
      <c r="G595" s="131" t="str">
        <f>IF(F595&gt;D595,"Safe","Provide Strripus")</f>
        <v>Provide Strripus</v>
      </c>
      <c r="H595" s="132">
        <f>IF((D595-F595)*1000*F574&gt;0,(D595-F595)*1000*F574,"-")</f>
        <v>23969.607779926908</v>
      </c>
      <c r="I595" s="133">
        <f>IF((D595-F595)*1000*F574&gt;0,H595/F548,"-")</f>
        <v>99.873365749695452</v>
      </c>
    </row>
    <row r="596" spans="1:9" x14ac:dyDescent="0.25">
      <c r="A596" s="9"/>
      <c r="B596" s="112"/>
      <c r="C596" s="21"/>
      <c r="D596" s="11"/>
      <c r="E596" s="21"/>
      <c r="F596" s="11"/>
      <c r="G596" s="66"/>
      <c r="H596" s="134"/>
      <c r="I596" s="11"/>
    </row>
    <row r="597" spans="1:9" ht="15.75" thickBot="1" x14ac:dyDescent="0.3">
      <c r="A597" s="9"/>
      <c r="B597" s="112"/>
      <c r="C597" s="11"/>
      <c r="D597" s="11"/>
      <c r="E597" s="11"/>
      <c r="F597" s="11"/>
      <c r="G597" s="11"/>
      <c r="H597" s="11"/>
      <c r="I597" s="11"/>
    </row>
    <row r="598" spans="1:9" ht="24.75" thickBot="1" x14ac:dyDescent="0.3">
      <c r="A598" s="9"/>
      <c r="B598" s="171" t="s">
        <v>100</v>
      </c>
      <c r="C598" s="179"/>
      <c r="D598" s="64" t="s">
        <v>101</v>
      </c>
      <c r="E598" s="64" t="s">
        <v>102</v>
      </c>
      <c r="F598" s="64" t="s">
        <v>103</v>
      </c>
      <c r="G598" s="64" t="s">
        <v>104</v>
      </c>
      <c r="H598" s="64" t="s">
        <v>105</v>
      </c>
      <c r="I598" s="96" t="s">
        <v>90</v>
      </c>
    </row>
    <row r="599" spans="1:9" ht="30.75" customHeight="1" thickBot="1" x14ac:dyDescent="0.3">
      <c r="A599" s="9"/>
      <c r="B599" s="174" t="s">
        <v>56</v>
      </c>
      <c r="C599" s="175"/>
      <c r="D599" s="77">
        <f>I593</f>
        <v>100.23402822551755</v>
      </c>
      <c r="E599" s="148">
        <v>10</v>
      </c>
      <c r="F599" s="77">
        <f>IF((D593-F593)*1000*F557&gt;0,PI()*E599*E599*1000/4/D599,"-")</f>
        <v>783.56440153275412</v>
      </c>
      <c r="G599" s="148">
        <v>250</v>
      </c>
      <c r="H599" s="145">
        <f>IF((D593-F593)*1000*F557&gt;0,PI()*E599*E599*1000/4/G599,"-")</f>
        <v>314.15926535897933</v>
      </c>
      <c r="I599" s="154" t="str">
        <f>IF((D593-F593)*1000*F557&gt;0,IF(H599&gt;D599,"Safe","Unsafe"),"Strripus Not Required")</f>
        <v>Safe</v>
      </c>
    </row>
    <row r="600" spans="1:9" ht="45" customHeight="1" thickBot="1" x14ac:dyDescent="0.3">
      <c r="A600" s="9"/>
      <c r="B600" s="174" t="s">
        <v>55</v>
      </c>
      <c r="C600" s="175"/>
      <c r="D600" s="77" t="str">
        <f>I594</f>
        <v>-</v>
      </c>
      <c r="E600" s="148">
        <v>10</v>
      </c>
      <c r="F600" s="77" t="str">
        <f>IF((D594-F594)*1000*F565&gt;0,PI()*E600*E600*1000/4/D600,"-")</f>
        <v>-</v>
      </c>
      <c r="G600" s="148">
        <v>250</v>
      </c>
      <c r="H600" s="145" t="str">
        <f>IF((D594-F594)*1000*F565&gt;0,PI()*E600*E600*1000/4/G600,"-")</f>
        <v>-</v>
      </c>
      <c r="I600" s="154" t="str">
        <f>IF((D594-F594)*1000*F565&gt;0,IF(H600&gt;D600,"Safe","Unsafe"),"Strripus Not Required")</f>
        <v>Strripus Not Required</v>
      </c>
    </row>
    <row r="601" spans="1:9" ht="30.75" customHeight="1" thickBot="1" x14ac:dyDescent="0.3">
      <c r="A601" s="9"/>
      <c r="B601" s="173" t="s">
        <v>57</v>
      </c>
      <c r="C601" s="178"/>
      <c r="D601" s="101">
        <f>I595</f>
        <v>99.873365749695452</v>
      </c>
      <c r="E601" s="147">
        <v>10</v>
      </c>
      <c r="F601" s="77">
        <f>IF((D595-F595)*1000*F574&gt;0,PI()*E601*E601*1000/4/D601,"-")</f>
        <v>786.3940075533535</v>
      </c>
      <c r="G601" s="147">
        <v>250</v>
      </c>
      <c r="H601" s="145">
        <f>IF((D595-F595)*1000*F574&gt;0,PI()*E601*E601*1000/4/G601,"-")</f>
        <v>314.15926535897933</v>
      </c>
      <c r="I601" s="154" t="str">
        <f>IF((D595-F595)*1000*F574&gt;0,IF(H601&gt;D601,"Safe","Unsafe"),"Strripus Not Required")</f>
        <v>Safe</v>
      </c>
    </row>
    <row r="602" spans="1:9" ht="15.75" thickBot="1" x14ac:dyDescent="0.3">
      <c r="A602" s="9"/>
      <c r="B602" s="112"/>
      <c r="C602" s="11"/>
      <c r="D602" s="11"/>
      <c r="E602" s="11"/>
      <c r="F602" s="11"/>
      <c r="G602" s="11"/>
      <c r="H602" s="11"/>
      <c r="I602" s="11"/>
    </row>
    <row r="603" spans="1:9" ht="15.75" thickBot="1" x14ac:dyDescent="0.3">
      <c r="A603" s="9"/>
      <c r="B603" s="135"/>
      <c r="C603" s="89"/>
      <c r="D603" s="96"/>
      <c r="E603" s="136" t="s">
        <v>136</v>
      </c>
      <c r="F603" s="96"/>
      <c r="G603" s="96"/>
      <c r="H603" s="96"/>
      <c r="I603" s="96"/>
    </row>
    <row r="604" spans="1:9" ht="15.75" thickBot="1" x14ac:dyDescent="0.3">
      <c r="A604" s="9"/>
      <c r="B604" s="82" t="s">
        <v>137</v>
      </c>
      <c r="C604" s="84"/>
      <c r="D604" s="84"/>
      <c r="E604" s="137">
        <f>IF((H98/2-(H98/2)*F593/D593)&gt;0,(H98/2-(H98/2)*F593/D593)*1000+F557,"-")</f>
        <v>955.30140895598299</v>
      </c>
      <c r="F604" s="84"/>
      <c r="G604" s="84"/>
      <c r="H604" s="84"/>
      <c r="I604" s="84"/>
    </row>
    <row r="605" spans="1:9" ht="15.75" thickBot="1" x14ac:dyDescent="0.3">
      <c r="A605" s="9"/>
      <c r="B605" s="82" t="s">
        <v>74</v>
      </c>
      <c r="C605" s="84"/>
      <c r="D605" s="84"/>
      <c r="E605" s="137" t="str">
        <f>IF((H100/2-(H100/2)*F594/D594)&gt;0,(H100/2-(H100/2)*F594/D594)*1000+F565,"-")</f>
        <v>-</v>
      </c>
      <c r="F605" s="84"/>
      <c r="G605" s="84"/>
      <c r="H605" s="84"/>
      <c r="I605" s="84"/>
    </row>
    <row r="606" spans="1:9" ht="15.75" thickBot="1" x14ac:dyDescent="0.3">
      <c r="A606" s="9"/>
      <c r="B606" s="82" t="s">
        <v>57</v>
      </c>
      <c r="C606" s="84"/>
      <c r="D606" s="84"/>
      <c r="E606" s="137">
        <f>IF((H98/2-(H98/2)*F595/D595)&gt;0,(H98/2-(H98/2)*F595/D595)*1000+F574,"-")</f>
        <v>1018.2210013005524</v>
      </c>
      <c r="F606" s="84"/>
      <c r="G606" s="84"/>
      <c r="H606" s="84"/>
      <c r="I606" s="84"/>
    </row>
    <row r="607" spans="1:9" x14ac:dyDescent="0.25">
      <c r="A607" s="138"/>
      <c r="B607" s="139"/>
      <c r="C607" s="139"/>
      <c r="D607" s="139"/>
      <c r="E607" s="139"/>
      <c r="F607" s="139"/>
      <c r="G607" s="139"/>
      <c r="H607" s="139"/>
      <c r="I607" s="139"/>
    </row>
    <row r="608" spans="1:9" x14ac:dyDescent="0.25">
      <c r="A608" s="138"/>
      <c r="B608" s="139"/>
      <c r="C608" s="139"/>
      <c r="D608" s="139"/>
      <c r="E608" s="139"/>
      <c r="F608" s="139"/>
      <c r="G608" s="139"/>
      <c r="H608" s="139"/>
      <c r="I608" s="139"/>
    </row>
    <row r="609" spans="1:9" x14ac:dyDescent="0.25">
      <c r="A609" s="138"/>
      <c r="B609" s="139"/>
      <c r="C609" s="139"/>
      <c r="D609" s="139"/>
      <c r="E609" s="139"/>
      <c r="F609" s="139"/>
      <c r="G609" s="139"/>
      <c r="H609" s="139"/>
      <c r="I609" s="139"/>
    </row>
    <row r="610" spans="1:9" x14ac:dyDescent="0.25">
      <c r="A610" s="138"/>
      <c r="B610" s="139"/>
      <c r="C610" s="139"/>
      <c r="D610" s="139"/>
      <c r="E610" s="139"/>
      <c r="F610" s="139"/>
      <c r="G610" s="139"/>
      <c r="H610" s="139"/>
      <c r="I610" s="139"/>
    </row>
    <row r="611" spans="1:9" x14ac:dyDescent="0.25">
      <c r="A611" s="138"/>
      <c r="B611" s="139"/>
      <c r="C611" s="139"/>
      <c r="D611" s="139"/>
      <c r="E611" s="139"/>
      <c r="F611" s="139"/>
      <c r="G611" s="139"/>
      <c r="H611" s="139"/>
      <c r="I611" s="139"/>
    </row>
    <row r="612" spans="1:9" x14ac:dyDescent="0.25">
      <c r="A612" s="138"/>
      <c r="B612" s="139"/>
      <c r="C612" s="139"/>
      <c r="D612" s="139"/>
      <c r="E612" s="139"/>
      <c r="F612" s="139"/>
      <c r="G612" s="139"/>
      <c r="H612" s="139"/>
      <c r="I612" s="139"/>
    </row>
    <row r="613" spans="1:9" x14ac:dyDescent="0.25">
      <c r="A613" s="138"/>
      <c r="B613" s="139"/>
      <c r="C613" s="139"/>
      <c r="D613" s="139"/>
      <c r="E613" s="139"/>
      <c r="F613" s="139"/>
      <c r="G613" s="139"/>
      <c r="H613" s="139"/>
      <c r="I613" s="139"/>
    </row>
    <row r="614" spans="1:9" x14ac:dyDescent="0.25">
      <c r="A614" s="138"/>
      <c r="B614" s="139"/>
      <c r="C614" s="139"/>
      <c r="D614" s="139"/>
      <c r="E614" s="139"/>
      <c r="F614" s="139"/>
      <c r="G614" s="139"/>
      <c r="H614" s="139"/>
      <c r="I614" s="139"/>
    </row>
    <row r="615" spans="1:9" x14ac:dyDescent="0.25">
      <c r="A615" s="138"/>
      <c r="B615" s="139"/>
      <c r="C615" s="139"/>
      <c r="D615" s="139"/>
      <c r="E615" s="139"/>
      <c r="F615" s="139"/>
      <c r="G615" s="139"/>
      <c r="H615" s="139"/>
      <c r="I615" s="139"/>
    </row>
    <row r="616" spans="1:9" x14ac:dyDescent="0.25">
      <c r="A616" s="138"/>
      <c r="B616" s="139"/>
      <c r="C616" s="139"/>
      <c r="D616" s="139"/>
      <c r="E616" s="139"/>
      <c r="F616" s="139"/>
      <c r="G616" s="139"/>
      <c r="H616" s="139"/>
      <c r="I616" s="139"/>
    </row>
    <row r="617" spans="1:9" x14ac:dyDescent="0.25">
      <c r="A617" s="138"/>
      <c r="B617" s="139"/>
      <c r="C617" s="139"/>
      <c r="D617" s="139"/>
      <c r="E617" s="139"/>
      <c r="F617" s="139"/>
      <c r="G617" s="139"/>
      <c r="H617" s="139"/>
      <c r="I617" s="139"/>
    </row>
    <row r="618" spans="1:9" x14ac:dyDescent="0.25">
      <c r="A618" s="138"/>
      <c r="B618" s="139"/>
      <c r="C618" s="139"/>
      <c r="D618" s="139"/>
      <c r="E618" s="139"/>
      <c r="F618" s="139"/>
      <c r="G618" s="139"/>
      <c r="H618" s="139"/>
      <c r="I618" s="139"/>
    </row>
    <row r="619" spans="1:9" x14ac:dyDescent="0.25">
      <c r="A619" s="138"/>
      <c r="B619" s="139"/>
      <c r="C619" s="139"/>
      <c r="D619" s="139"/>
      <c r="E619" s="139"/>
      <c r="F619" s="139"/>
      <c r="G619" s="139"/>
      <c r="H619" s="139"/>
      <c r="I619" s="139"/>
    </row>
    <row r="620" spans="1:9" x14ac:dyDescent="0.25">
      <c r="A620" s="138"/>
      <c r="B620" s="139"/>
      <c r="C620" s="139"/>
      <c r="D620" s="139"/>
      <c r="E620" s="139"/>
      <c r="F620" s="139"/>
      <c r="G620" s="139"/>
      <c r="H620" s="139"/>
      <c r="I620" s="139"/>
    </row>
    <row r="621" spans="1:9" x14ac:dyDescent="0.25">
      <c r="A621" s="138"/>
      <c r="B621" s="139"/>
      <c r="C621" s="139"/>
      <c r="D621" s="139"/>
      <c r="E621" s="139"/>
      <c r="F621" s="139"/>
      <c r="G621" s="139"/>
      <c r="H621" s="139"/>
      <c r="I621" s="139"/>
    </row>
    <row r="622" spans="1:9" x14ac:dyDescent="0.25">
      <c r="A622" s="138"/>
      <c r="B622" s="139"/>
      <c r="C622" s="139"/>
      <c r="D622" s="139"/>
      <c r="E622" s="139"/>
      <c r="F622" s="139"/>
      <c r="G622" s="139"/>
      <c r="H622" s="139"/>
      <c r="I622" s="139"/>
    </row>
    <row r="623" spans="1:9" x14ac:dyDescent="0.25">
      <c r="A623" s="138"/>
      <c r="B623" s="139"/>
      <c r="C623" s="139"/>
      <c r="D623" s="139"/>
      <c r="E623" s="139"/>
      <c r="F623" s="139"/>
      <c r="G623" s="139"/>
      <c r="H623" s="139"/>
      <c r="I623" s="139"/>
    </row>
    <row r="624" spans="1:9" x14ac:dyDescent="0.25">
      <c r="A624" s="138"/>
      <c r="B624" s="139"/>
      <c r="C624" s="139"/>
      <c r="D624" s="139"/>
      <c r="E624" s="139"/>
      <c r="F624" s="139"/>
      <c r="G624" s="139"/>
      <c r="H624" s="139"/>
      <c r="I624" s="139"/>
    </row>
    <row r="625" spans="1:9" x14ac:dyDescent="0.25">
      <c r="A625" s="138"/>
      <c r="B625" s="139"/>
      <c r="C625" s="139"/>
      <c r="D625" s="139"/>
      <c r="E625" s="139"/>
      <c r="F625" s="139"/>
      <c r="G625" s="139"/>
      <c r="H625" s="139"/>
      <c r="I625" s="139"/>
    </row>
    <row r="626" spans="1:9" x14ac:dyDescent="0.25">
      <c r="A626" s="138"/>
      <c r="B626" s="139"/>
      <c r="C626" s="139"/>
      <c r="D626" s="139"/>
      <c r="E626" s="139"/>
      <c r="F626" s="139"/>
      <c r="G626" s="139"/>
      <c r="H626" s="139"/>
      <c r="I626" s="139"/>
    </row>
    <row r="627" spans="1:9" x14ac:dyDescent="0.25">
      <c r="A627" s="138"/>
      <c r="B627" s="139"/>
      <c r="C627" s="139"/>
      <c r="D627" s="139"/>
      <c r="E627" s="139"/>
      <c r="F627" s="139"/>
      <c r="G627" s="139"/>
      <c r="H627" s="139"/>
      <c r="I627" s="139"/>
    </row>
    <row r="628" spans="1:9" x14ac:dyDescent="0.25">
      <c r="B628" s="2"/>
      <c r="C628" s="2"/>
      <c r="D628" s="2"/>
      <c r="E628" s="2"/>
      <c r="F628" s="2"/>
      <c r="G628" s="2"/>
      <c r="H628" s="2"/>
      <c r="I628" s="2"/>
    </row>
    <row r="629" spans="1:9" x14ac:dyDescent="0.25">
      <c r="B629" s="2"/>
      <c r="C629" s="2"/>
      <c r="D629" s="2"/>
      <c r="E629" s="2"/>
      <c r="F629" s="2"/>
      <c r="G629" s="2"/>
      <c r="H629" s="2"/>
      <c r="I629" s="2"/>
    </row>
    <row r="630" spans="1:9" x14ac:dyDescent="0.25">
      <c r="B630" s="2"/>
      <c r="C630" s="2"/>
      <c r="D630" s="2"/>
      <c r="E630" s="2"/>
      <c r="F630" s="2"/>
      <c r="G630" s="2"/>
      <c r="H630" s="2"/>
      <c r="I630" s="2"/>
    </row>
    <row r="631" spans="1:9" x14ac:dyDescent="0.25">
      <c r="B631" s="2"/>
      <c r="C631" s="2"/>
      <c r="D631" s="2"/>
      <c r="E631" s="2"/>
      <c r="F631" s="2"/>
      <c r="G631" s="2"/>
      <c r="H631" s="2"/>
      <c r="I631" s="2"/>
    </row>
    <row r="632" spans="1:9" x14ac:dyDescent="0.25">
      <c r="B632" s="2"/>
      <c r="C632" s="2"/>
      <c r="D632" s="2"/>
      <c r="E632" s="2"/>
      <c r="F632" s="2"/>
      <c r="G632" s="2"/>
      <c r="H632" s="2"/>
      <c r="I632" s="2"/>
    </row>
    <row r="633" spans="1:9" x14ac:dyDescent="0.25">
      <c r="B633" s="2"/>
      <c r="C633" s="2"/>
      <c r="D633" s="2"/>
      <c r="E633" s="2"/>
      <c r="F633" s="2"/>
      <c r="G633" s="2"/>
      <c r="H633" s="2"/>
      <c r="I633" s="2"/>
    </row>
    <row r="634" spans="1:9" x14ac:dyDescent="0.25">
      <c r="B634" s="2"/>
      <c r="C634" s="2"/>
      <c r="D634" s="2"/>
      <c r="E634" s="2"/>
      <c r="F634" s="2"/>
      <c r="G634" s="2"/>
      <c r="H634" s="2"/>
      <c r="I634" s="2"/>
    </row>
    <row r="635" spans="1:9" x14ac:dyDescent="0.25">
      <c r="B635" s="2"/>
      <c r="C635" s="2"/>
      <c r="D635" s="2"/>
      <c r="E635" s="2"/>
      <c r="F635" s="2"/>
      <c r="G635" s="2"/>
      <c r="H635" s="2"/>
      <c r="I635" s="2"/>
    </row>
    <row r="636" spans="1:9" x14ac:dyDescent="0.25">
      <c r="B636" s="2"/>
      <c r="C636" s="2"/>
      <c r="D636" s="2"/>
      <c r="E636" s="2"/>
      <c r="F636" s="2"/>
      <c r="G636" s="2"/>
      <c r="H636" s="2"/>
      <c r="I636" s="2"/>
    </row>
    <row r="637" spans="1:9" x14ac:dyDescent="0.25">
      <c r="B637" s="2"/>
      <c r="C637" s="2"/>
      <c r="D637" s="2"/>
      <c r="E637" s="2"/>
      <c r="F637" s="2"/>
      <c r="G637" s="2"/>
      <c r="H637" s="2"/>
      <c r="I637" s="2"/>
    </row>
    <row r="638" spans="1:9" x14ac:dyDescent="0.25">
      <c r="B638" s="2"/>
      <c r="C638" s="2"/>
      <c r="D638" s="2"/>
      <c r="E638" s="2"/>
      <c r="F638" s="2"/>
      <c r="G638" s="2"/>
      <c r="H638" s="2"/>
      <c r="I638" s="2"/>
    </row>
    <row r="639" spans="1:9" x14ac:dyDescent="0.25">
      <c r="B639" s="2"/>
      <c r="C639" s="2"/>
      <c r="D639" s="2"/>
      <c r="E639" s="2"/>
      <c r="F639" s="2"/>
      <c r="G639" s="2"/>
      <c r="H639" s="2"/>
      <c r="I639" s="2"/>
    </row>
    <row r="640" spans="1:9" x14ac:dyDescent="0.25">
      <c r="B640" s="2"/>
      <c r="C640" s="2"/>
      <c r="D640" s="2"/>
      <c r="E640" s="2"/>
      <c r="F640" s="2"/>
      <c r="G640" s="2"/>
      <c r="H640" s="2"/>
      <c r="I640" s="2"/>
    </row>
    <row r="641" spans="2:9" x14ac:dyDescent="0.25">
      <c r="B641" s="2"/>
      <c r="C641" s="2"/>
      <c r="D641" s="2"/>
      <c r="E641" s="2"/>
      <c r="F641" s="2"/>
      <c r="G641" s="2"/>
      <c r="H641" s="2"/>
      <c r="I641" s="2"/>
    </row>
    <row r="642" spans="2:9" x14ac:dyDescent="0.25">
      <c r="B642" s="2"/>
      <c r="C642" s="2"/>
      <c r="D642" s="2"/>
      <c r="E642" s="2"/>
      <c r="F642" s="2"/>
      <c r="G642" s="2"/>
      <c r="H642" s="2"/>
      <c r="I642" s="2"/>
    </row>
    <row r="643" spans="2:9" x14ac:dyDescent="0.25">
      <c r="B643" s="2"/>
      <c r="C643" s="2"/>
      <c r="D643" s="2"/>
      <c r="E643" s="2"/>
      <c r="F643" s="2"/>
      <c r="G643" s="2"/>
      <c r="H643" s="2"/>
      <c r="I643" s="2"/>
    </row>
    <row r="644" spans="2:9" x14ac:dyDescent="0.25">
      <c r="B644" s="2"/>
      <c r="C644" s="2"/>
      <c r="D644" s="2"/>
      <c r="E644" s="2"/>
      <c r="F644" s="2"/>
      <c r="G644" s="2"/>
      <c r="H644" s="2"/>
      <c r="I644" s="2"/>
    </row>
    <row r="645" spans="2:9" x14ac:dyDescent="0.25">
      <c r="B645" s="2"/>
      <c r="C645" s="2"/>
      <c r="D645" s="2"/>
      <c r="E645" s="2"/>
      <c r="F645" s="2"/>
      <c r="G645" s="2"/>
      <c r="H645" s="2"/>
      <c r="I645" s="2"/>
    </row>
    <row r="646" spans="2:9" x14ac:dyDescent="0.25">
      <c r="B646" s="2"/>
      <c r="C646" s="2"/>
      <c r="D646" s="2"/>
      <c r="E646" s="2"/>
      <c r="F646" s="2"/>
      <c r="G646" s="2"/>
      <c r="H646" s="2"/>
      <c r="I646" s="2"/>
    </row>
    <row r="647" spans="2:9" x14ac:dyDescent="0.25">
      <c r="B647" s="2"/>
      <c r="C647" s="2"/>
      <c r="D647" s="2"/>
      <c r="E647" s="2"/>
      <c r="F647" s="2"/>
      <c r="G647" s="2"/>
      <c r="H647" s="2"/>
      <c r="I647" s="2"/>
    </row>
    <row r="648" spans="2:9" x14ac:dyDescent="0.25">
      <c r="B648" s="2"/>
      <c r="C648" s="2"/>
      <c r="D648" s="2"/>
      <c r="E648" s="2"/>
      <c r="F648" s="2"/>
      <c r="G648" s="2"/>
      <c r="H648" s="2"/>
      <c r="I648" s="2"/>
    </row>
    <row r="649" spans="2:9" x14ac:dyDescent="0.25">
      <c r="B649" s="2"/>
      <c r="C649" s="2"/>
      <c r="D649" s="2"/>
      <c r="E649" s="2"/>
      <c r="F649" s="2"/>
      <c r="G649" s="2"/>
      <c r="H649" s="2"/>
      <c r="I649" s="2"/>
    </row>
    <row r="650" spans="2:9" x14ac:dyDescent="0.25">
      <c r="B650" s="2"/>
      <c r="C650" s="2"/>
      <c r="D650" s="2"/>
      <c r="E650" s="2"/>
      <c r="F650" s="2"/>
      <c r="G650" s="2"/>
      <c r="H650" s="2"/>
      <c r="I650" s="2"/>
    </row>
    <row r="651" spans="2:9" x14ac:dyDescent="0.25">
      <c r="B651" s="2"/>
      <c r="C651" s="2"/>
      <c r="D651" s="2"/>
      <c r="E651" s="2"/>
      <c r="F651" s="2"/>
      <c r="G651" s="2"/>
      <c r="H651" s="2"/>
      <c r="I651" s="2"/>
    </row>
    <row r="652" spans="2:9" x14ac:dyDescent="0.25">
      <c r="B652" s="2"/>
      <c r="C652" s="2"/>
      <c r="D652" s="2"/>
      <c r="E652" s="2"/>
      <c r="F652" s="2"/>
      <c r="G652" s="2"/>
      <c r="H652" s="2"/>
      <c r="I652" s="2"/>
    </row>
    <row r="653" spans="2:9" x14ac:dyDescent="0.25">
      <c r="B653" s="2"/>
      <c r="C653" s="2"/>
      <c r="D653" s="2"/>
      <c r="E653" s="2"/>
      <c r="F653" s="2"/>
      <c r="G653" s="2"/>
      <c r="H653" s="2"/>
      <c r="I653" s="2"/>
    </row>
    <row r="654" spans="2:9" x14ac:dyDescent="0.25">
      <c r="B654" s="2"/>
      <c r="C654" s="2"/>
      <c r="D654" s="2"/>
      <c r="E654" s="2"/>
      <c r="F654" s="2"/>
      <c r="G654" s="2"/>
      <c r="H654" s="2"/>
      <c r="I654" s="2"/>
    </row>
    <row r="655" spans="2:9" x14ac:dyDescent="0.25">
      <c r="B655" s="2"/>
      <c r="C655" s="2"/>
      <c r="D655" s="2"/>
      <c r="E655" s="2"/>
      <c r="F655" s="2"/>
      <c r="G655" s="2"/>
      <c r="H655" s="2"/>
      <c r="I655" s="2"/>
    </row>
    <row r="656" spans="2:9" x14ac:dyDescent="0.25">
      <c r="B656" s="2"/>
      <c r="C656" s="2"/>
      <c r="D656" s="2"/>
      <c r="E656" s="2"/>
      <c r="F656" s="2"/>
      <c r="G656" s="2"/>
      <c r="H656" s="2"/>
      <c r="I656" s="2"/>
    </row>
    <row r="657" spans="2:9" x14ac:dyDescent="0.25">
      <c r="B657" s="2"/>
      <c r="C657" s="2"/>
      <c r="D657" s="2"/>
      <c r="E657" s="2"/>
      <c r="F657" s="2"/>
      <c r="G657" s="2"/>
      <c r="H657" s="2"/>
      <c r="I657" s="2"/>
    </row>
    <row r="658" spans="2:9" x14ac:dyDescent="0.25">
      <c r="B658" s="2"/>
      <c r="C658" s="2"/>
      <c r="D658" s="2"/>
      <c r="E658" s="2"/>
      <c r="F658" s="2"/>
      <c r="G658" s="2"/>
      <c r="H658" s="2"/>
      <c r="I658" s="2"/>
    </row>
    <row r="659" spans="2:9" x14ac:dyDescent="0.25">
      <c r="B659" s="2"/>
      <c r="C659" s="2"/>
      <c r="D659" s="2"/>
      <c r="E659" s="2"/>
      <c r="F659" s="2"/>
      <c r="G659" s="2"/>
      <c r="H659" s="2"/>
      <c r="I659" s="2"/>
    </row>
    <row r="660" spans="2:9" x14ac:dyDescent="0.25">
      <c r="B660" s="2"/>
      <c r="C660" s="2"/>
      <c r="D660" s="2"/>
      <c r="E660" s="2"/>
      <c r="F660" s="2"/>
      <c r="G660" s="2"/>
      <c r="H660" s="2"/>
      <c r="I660" s="2"/>
    </row>
    <row r="661" spans="2:9" x14ac:dyDescent="0.25">
      <c r="B661" s="2"/>
      <c r="C661" s="2"/>
      <c r="D661" s="2"/>
      <c r="E661" s="2"/>
      <c r="F661" s="2"/>
      <c r="G661" s="2"/>
      <c r="H661" s="2"/>
      <c r="I661" s="2"/>
    </row>
    <row r="662" spans="2:9" x14ac:dyDescent="0.25">
      <c r="B662" s="2"/>
      <c r="C662" s="2"/>
      <c r="D662" s="2"/>
      <c r="E662" s="2"/>
      <c r="F662" s="2"/>
      <c r="G662" s="2"/>
      <c r="H662" s="2"/>
      <c r="I662" s="2"/>
    </row>
    <row r="663" spans="2:9" x14ac:dyDescent="0.25">
      <c r="B663" s="2"/>
      <c r="C663" s="2"/>
      <c r="D663" s="2"/>
      <c r="E663" s="2"/>
      <c r="F663" s="2"/>
      <c r="G663" s="2"/>
      <c r="H663" s="2"/>
      <c r="I663" s="2"/>
    </row>
    <row r="664" spans="2:9" x14ac:dyDescent="0.25">
      <c r="B664" s="2"/>
      <c r="C664" s="2"/>
      <c r="D664" s="2"/>
      <c r="E664" s="2"/>
      <c r="F664" s="2"/>
      <c r="G664" s="2"/>
      <c r="H664" s="2"/>
      <c r="I664" s="2"/>
    </row>
    <row r="665" spans="2:9" x14ac:dyDescent="0.25">
      <c r="B665" s="2"/>
      <c r="C665" s="2"/>
      <c r="D665" s="2"/>
      <c r="E665" s="2"/>
      <c r="F665" s="2"/>
      <c r="G665" s="2"/>
      <c r="H665" s="2"/>
      <c r="I665" s="2"/>
    </row>
    <row r="666" spans="2:9" x14ac:dyDescent="0.25">
      <c r="B666" s="2"/>
      <c r="C666" s="2"/>
      <c r="D666" s="2"/>
      <c r="E666" s="2"/>
      <c r="F666" s="2"/>
      <c r="G666" s="2"/>
      <c r="H666" s="2"/>
      <c r="I666" s="2"/>
    </row>
    <row r="667" spans="2:9" x14ac:dyDescent="0.25">
      <c r="B667" s="2"/>
      <c r="C667" s="2"/>
      <c r="D667" s="2"/>
      <c r="E667" s="2"/>
      <c r="F667" s="2"/>
      <c r="G667" s="2"/>
      <c r="H667" s="2"/>
      <c r="I667" s="2"/>
    </row>
    <row r="668" spans="2:9" x14ac:dyDescent="0.25">
      <c r="B668" s="2"/>
      <c r="C668" s="2"/>
      <c r="D668" s="2"/>
      <c r="E668" s="2"/>
      <c r="F668" s="2"/>
      <c r="G668" s="2"/>
      <c r="H668" s="2"/>
      <c r="I668" s="2"/>
    </row>
    <row r="669" spans="2:9" x14ac:dyDescent="0.25">
      <c r="B669" s="2"/>
      <c r="C669" s="2"/>
      <c r="D669" s="2"/>
      <c r="E669" s="2"/>
      <c r="F669" s="2"/>
      <c r="G669" s="2"/>
      <c r="H669" s="2"/>
      <c r="I669" s="2"/>
    </row>
    <row r="670" spans="2:9" x14ac:dyDescent="0.25">
      <c r="B670" s="2"/>
      <c r="C670" s="2"/>
      <c r="D670" s="2"/>
      <c r="E670" s="2"/>
      <c r="F670" s="2"/>
      <c r="G670" s="2"/>
      <c r="H670" s="2"/>
      <c r="I670" s="2"/>
    </row>
    <row r="671" spans="2:9" x14ac:dyDescent="0.25">
      <c r="B671" s="2"/>
      <c r="C671" s="2"/>
      <c r="D671" s="2"/>
      <c r="E671" s="2"/>
      <c r="F671" s="2"/>
      <c r="G671" s="2"/>
      <c r="H671" s="2"/>
      <c r="I671" s="2"/>
    </row>
    <row r="672" spans="2:9" x14ac:dyDescent="0.25">
      <c r="B672" s="2"/>
      <c r="C672" s="2"/>
      <c r="D672" s="2"/>
      <c r="E672" s="2"/>
      <c r="F672" s="2"/>
      <c r="G672" s="2"/>
      <c r="H672" s="2"/>
      <c r="I672" s="2"/>
    </row>
    <row r="673" spans="2:9" x14ac:dyDescent="0.25">
      <c r="B673" s="2"/>
      <c r="C673" s="2"/>
      <c r="D673" s="2"/>
      <c r="E673" s="2"/>
      <c r="F673" s="2"/>
      <c r="G673" s="2"/>
      <c r="H673" s="2"/>
      <c r="I673" s="2"/>
    </row>
    <row r="674" spans="2:9" x14ac:dyDescent="0.25">
      <c r="B674" s="2"/>
      <c r="C674" s="2"/>
      <c r="D674" s="2"/>
      <c r="E674" s="2"/>
      <c r="F674" s="2"/>
      <c r="G674" s="2"/>
      <c r="H674" s="2"/>
      <c r="I674" s="2"/>
    </row>
    <row r="675" spans="2:9" x14ac:dyDescent="0.25">
      <c r="B675" s="2"/>
      <c r="C675" s="2"/>
      <c r="D675" s="2"/>
      <c r="E675" s="2"/>
      <c r="F675" s="2"/>
      <c r="G675" s="2"/>
      <c r="H675" s="2"/>
      <c r="I675" s="2"/>
    </row>
    <row r="676" spans="2:9" x14ac:dyDescent="0.25">
      <c r="B676" s="2"/>
      <c r="C676" s="2"/>
      <c r="D676" s="2"/>
      <c r="E676" s="2"/>
      <c r="F676" s="2"/>
      <c r="G676" s="2"/>
      <c r="H676" s="2"/>
      <c r="I676" s="2"/>
    </row>
    <row r="677" spans="2:9" x14ac:dyDescent="0.25">
      <c r="B677" s="2"/>
      <c r="C677" s="2"/>
      <c r="D677" s="2"/>
      <c r="E677" s="2"/>
      <c r="F677" s="2"/>
      <c r="G677" s="2"/>
      <c r="H677" s="2"/>
      <c r="I677" s="2"/>
    </row>
    <row r="678" spans="2:9" x14ac:dyDescent="0.25">
      <c r="B678" s="2"/>
      <c r="C678" s="2"/>
      <c r="D678" s="2"/>
      <c r="E678" s="2"/>
      <c r="F678" s="2"/>
      <c r="G678" s="2"/>
      <c r="H678" s="2"/>
      <c r="I678" s="2"/>
    </row>
    <row r="679" spans="2:9" x14ac:dyDescent="0.25">
      <c r="B679" s="2"/>
      <c r="C679" s="2"/>
      <c r="D679" s="2"/>
      <c r="E679" s="2"/>
      <c r="F679" s="2"/>
      <c r="G679" s="2"/>
      <c r="H679" s="2"/>
      <c r="I679" s="2"/>
    </row>
    <row r="680" spans="2:9" x14ac:dyDescent="0.25">
      <c r="B680" s="2"/>
      <c r="C680" s="2"/>
      <c r="D680" s="2"/>
      <c r="E680" s="2"/>
      <c r="F680" s="2"/>
      <c r="G680" s="2"/>
      <c r="H680" s="2"/>
      <c r="I680" s="2"/>
    </row>
    <row r="681" spans="2:9" x14ac:dyDescent="0.25">
      <c r="B681" s="2"/>
      <c r="C681" s="2"/>
      <c r="D681" s="2"/>
      <c r="E681" s="2"/>
      <c r="F681" s="2"/>
      <c r="G681" s="2"/>
      <c r="H681" s="2"/>
      <c r="I681" s="2"/>
    </row>
    <row r="682" spans="2:9" x14ac:dyDescent="0.25">
      <c r="B682" s="2"/>
      <c r="C682" s="2"/>
      <c r="D682" s="2"/>
      <c r="E682" s="2"/>
      <c r="F682" s="2"/>
      <c r="G682" s="2"/>
      <c r="H682" s="2"/>
      <c r="I682" s="2"/>
    </row>
    <row r="683" spans="2:9" x14ac:dyDescent="0.25">
      <c r="B683" s="2"/>
      <c r="C683" s="2"/>
      <c r="D683" s="2"/>
      <c r="E683" s="2"/>
      <c r="F683" s="2"/>
      <c r="G683" s="2"/>
      <c r="H683" s="2"/>
      <c r="I683" s="2"/>
    </row>
    <row r="684" spans="2:9" x14ac:dyDescent="0.25">
      <c r="B684" s="2"/>
      <c r="C684" s="2"/>
      <c r="D684" s="2"/>
      <c r="E684" s="2"/>
      <c r="F684" s="2"/>
      <c r="G684" s="2"/>
      <c r="H684" s="2"/>
      <c r="I684" s="2"/>
    </row>
    <row r="685" spans="2:9" x14ac:dyDescent="0.25">
      <c r="B685" s="2"/>
      <c r="C685" s="2"/>
      <c r="D685" s="2"/>
      <c r="E685" s="2"/>
      <c r="F685" s="2"/>
      <c r="G685" s="2"/>
      <c r="H685" s="2"/>
      <c r="I685" s="2"/>
    </row>
    <row r="686" spans="2:9" x14ac:dyDescent="0.25">
      <c r="B686" s="2"/>
      <c r="C686" s="2"/>
      <c r="D686" s="2"/>
      <c r="E686" s="2"/>
      <c r="F686" s="2"/>
      <c r="G686" s="2"/>
      <c r="H686" s="2"/>
      <c r="I686" s="2"/>
    </row>
    <row r="687" spans="2:9" x14ac:dyDescent="0.25">
      <c r="B687" s="2"/>
      <c r="C687" s="2"/>
      <c r="D687" s="2"/>
      <c r="E687" s="2"/>
      <c r="F687" s="2"/>
      <c r="G687" s="2"/>
      <c r="H687" s="2"/>
      <c r="I687" s="2"/>
    </row>
    <row r="688" spans="2:9" x14ac:dyDescent="0.25">
      <c r="B688" s="2"/>
      <c r="C688" s="2"/>
      <c r="D688" s="2"/>
      <c r="E688" s="2"/>
      <c r="F688" s="2"/>
      <c r="G688" s="2"/>
      <c r="H688" s="2"/>
      <c r="I688" s="2"/>
    </row>
    <row r="689" spans="2:9" x14ac:dyDescent="0.25">
      <c r="B689" s="2"/>
      <c r="C689" s="2"/>
      <c r="D689" s="2"/>
      <c r="E689" s="2"/>
      <c r="F689" s="2"/>
      <c r="G689" s="2"/>
      <c r="H689" s="2"/>
      <c r="I689" s="2"/>
    </row>
    <row r="690" spans="2:9" x14ac:dyDescent="0.25">
      <c r="B690" s="2"/>
      <c r="C690" s="2"/>
      <c r="D690" s="2"/>
      <c r="E690" s="2"/>
      <c r="F690" s="2"/>
      <c r="G690" s="2"/>
      <c r="H690" s="2"/>
      <c r="I690" s="2"/>
    </row>
    <row r="691" spans="2:9" x14ac:dyDescent="0.25">
      <c r="B691" s="2"/>
      <c r="C691" s="2"/>
      <c r="D691" s="2"/>
      <c r="E691" s="2"/>
      <c r="F691" s="2"/>
      <c r="G691" s="2"/>
      <c r="H691" s="2"/>
      <c r="I691" s="2"/>
    </row>
    <row r="692" spans="2:9" x14ac:dyDescent="0.25">
      <c r="B692" s="2"/>
      <c r="C692" s="2"/>
      <c r="D692" s="2"/>
      <c r="E692" s="2"/>
      <c r="F692" s="2"/>
      <c r="G692" s="2"/>
      <c r="H692" s="2"/>
      <c r="I692" s="2"/>
    </row>
    <row r="693" spans="2:9" x14ac:dyDescent="0.25">
      <c r="B693" s="2"/>
      <c r="C693" s="2"/>
      <c r="D693" s="2"/>
      <c r="E693" s="2"/>
      <c r="F693" s="2"/>
      <c r="G693" s="2"/>
      <c r="H693" s="2"/>
      <c r="I693" s="2"/>
    </row>
    <row r="694" spans="2:9" x14ac:dyDescent="0.25">
      <c r="B694" s="2"/>
      <c r="C694" s="2"/>
      <c r="D694" s="2"/>
      <c r="E694" s="2"/>
      <c r="F694" s="2"/>
      <c r="G694" s="2"/>
      <c r="H694" s="2"/>
      <c r="I694" s="2"/>
    </row>
    <row r="695" spans="2:9" x14ac:dyDescent="0.25">
      <c r="B695" s="2"/>
      <c r="C695" s="2"/>
      <c r="D695" s="2"/>
      <c r="E695" s="2"/>
      <c r="F695" s="2"/>
      <c r="G695" s="2"/>
      <c r="H695" s="2"/>
      <c r="I695" s="2"/>
    </row>
    <row r="696" spans="2:9" x14ac:dyDescent="0.25">
      <c r="B696" s="2"/>
      <c r="C696" s="2"/>
      <c r="D696" s="2"/>
      <c r="E696" s="2"/>
      <c r="F696" s="2"/>
      <c r="G696" s="2"/>
      <c r="H696" s="2"/>
      <c r="I696" s="2"/>
    </row>
    <row r="697" spans="2:9" x14ac:dyDescent="0.25">
      <c r="B697" s="2"/>
      <c r="C697" s="2"/>
      <c r="D697" s="2"/>
      <c r="E697" s="2"/>
      <c r="F697" s="2"/>
      <c r="G697" s="2"/>
      <c r="H697" s="2"/>
      <c r="I697" s="2"/>
    </row>
    <row r="698" spans="2:9" x14ac:dyDescent="0.25">
      <c r="B698" s="2"/>
      <c r="C698" s="2"/>
      <c r="D698" s="2"/>
      <c r="E698" s="2"/>
      <c r="F698" s="2"/>
      <c r="G698" s="2"/>
      <c r="H698" s="2"/>
      <c r="I698" s="2"/>
    </row>
    <row r="699" spans="2:9" x14ac:dyDescent="0.25">
      <c r="B699" s="2"/>
      <c r="C699" s="2"/>
      <c r="D699" s="2"/>
      <c r="E699" s="2"/>
      <c r="F699" s="2"/>
      <c r="G699" s="2"/>
      <c r="H699" s="2"/>
      <c r="I699" s="2"/>
    </row>
    <row r="700" spans="2:9" x14ac:dyDescent="0.25">
      <c r="B700" s="2"/>
      <c r="C700" s="2"/>
      <c r="D700" s="2"/>
      <c r="E700" s="2"/>
      <c r="F700" s="2"/>
      <c r="G700" s="2"/>
      <c r="H700" s="2"/>
      <c r="I700" s="2"/>
    </row>
    <row r="701" spans="2:9" x14ac:dyDescent="0.25">
      <c r="B701" s="2"/>
      <c r="C701" s="2"/>
      <c r="D701" s="2"/>
      <c r="E701" s="2"/>
      <c r="F701" s="2"/>
      <c r="G701" s="2"/>
      <c r="H701" s="2"/>
      <c r="I701" s="2"/>
    </row>
    <row r="702" spans="2:9" x14ac:dyDescent="0.25">
      <c r="B702" s="2"/>
      <c r="C702" s="2"/>
      <c r="D702" s="2"/>
      <c r="E702" s="2"/>
      <c r="F702" s="2"/>
      <c r="G702" s="2"/>
      <c r="H702" s="2"/>
      <c r="I702" s="2"/>
    </row>
    <row r="703" spans="2:9" x14ac:dyDescent="0.25">
      <c r="B703" s="2"/>
      <c r="C703" s="2"/>
      <c r="D703" s="2"/>
      <c r="E703" s="2"/>
      <c r="F703" s="2"/>
      <c r="G703" s="2"/>
      <c r="H703" s="2"/>
      <c r="I703" s="2"/>
    </row>
    <row r="704" spans="2:9" x14ac:dyDescent="0.25">
      <c r="D704" s="2"/>
      <c r="E704" s="2"/>
      <c r="F704" s="2"/>
      <c r="G704" s="2"/>
    </row>
    <row r="705" spans="4:7" x14ac:dyDescent="0.25">
      <c r="D705" s="2"/>
      <c r="E705" s="2"/>
      <c r="F705" s="2"/>
      <c r="G705" s="2"/>
    </row>
    <row r="706" spans="4:7" x14ac:dyDescent="0.25">
      <c r="D706" s="2"/>
      <c r="E706" s="2"/>
      <c r="F706" s="2"/>
      <c r="G706" s="2"/>
    </row>
    <row r="707" spans="4:7" x14ac:dyDescent="0.25">
      <c r="D707" s="2"/>
      <c r="E707" s="2"/>
      <c r="F707" s="2"/>
      <c r="G707" s="2"/>
    </row>
    <row r="708" spans="4:7" x14ac:dyDescent="0.25">
      <c r="D708" s="2"/>
      <c r="E708" s="2"/>
      <c r="F708" s="2"/>
      <c r="G708" s="2"/>
    </row>
    <row r="709" spans="4:7" x14ac:dyDescent="0.25">
      <c r="D709" s="2"/>
      <c r="E709" s="2"/>
      <c r="F709" s="2"/>
      <c r="G709" s="2"/>
    </row>
    <row r="710" spans="4:7" x14ac:dyDescent="0.25">
      <c r="D710" s="2"/>
      <c r="E710" s="2"/>
      <c r="F710" s="2"/>
      <c r="G710" s="2"/>
    </row>
    <row r="711" spans="4:7" x14ac:dyDescent="0.25">
      <c r="D711" s="2"/>
      <c r="E711" s="2"/>
      <c r="F711" s="2"/>
      <c r="G711" s="2"/>
    </row>
    <row r="712" spans="4:7" x14ac:dyDescent="0.25">
      <c r="D712" s="2"/>
      <c r="E712" s="2"/>
      <c r="F712" s="2"/>
      <c r="G712" s="2"/>
    </row>
    <row r="713" spans="4:7" x14ac:dyDescent="0.25">
      <c r="D713" s="2"/>
      <c r="E713" s="2"/>
      <c r="F713" s="2"/>
      <c r="G713" s="2"/>
    </row>
  </sheetData>
  <sheetProtection algorithmName="SHA-512" hashValue="d72Yk3N1seHp2axtHy3LBObM4wZsPVVhIlMXos3sL6Pf2wwB2AZTXOejE3Y2+gNuoP5FmGG7Xm0Iyk1jPdOA3A==" saltValue="oM5dJGb9kXuYz5pst+BQOQ==" spinCount="100000" sheet="1"/>
  <mergeCells count="31">
    <mergeCell ref="H577:I577"/>
    <mergeCell ref="H584:I584"/>
    <mergeCell ref="H586:I586"/>
    <mergeCell ref="H579:I579"/>
    <mergeCell ref="H582:I582"/>
    <mergeCell ref="B599:C599"/>
    <mergeCell ref="H589:I589"/>
    <mergeCell ref="B600:C600"/>
    <mergeCell ref="B601:C601"/>
    <mergeCell ref="B598:C598"/>
    <mergeCell ref="B524:B526"/>
    <mergeCell ref="B527:B529"/>
    <mergeCell ref="D386:D394"/>
    <mergeCell ref="G386:G394"/>
    <mergeCell ref="B518:B520"/>
    <mergeCell ref="B521:B523"/>
    <mergeCell ref="D478:D486"/>
    <mergeCell ref="G478:G486"/>
    <mergeCell ref="D202:D210"/>
    <mergeCell ref="G202:G210"/>
    <mergeCell ref="D294:D302"/>
    <mergeCell ref="G294:G302"/>
    <mergeCell ref="A3:I3"/>
    <mergeCell ref="B13:H16"/>
    <mergeCell ref="A1:B1"/>
    <mergeCell ref="C1:G1"/>
    <mergeCell ref="H1:I1"/>
    <mergeCell ref="A2:B2"/>
    <mergeCell ref="C2:D2"/>
    <mergeCell ref="E2:F2"/>
    <mergeCell ref="G2:H2"/>
  </mergeCells>
  <phoneticPr fontId="0" type="noConversion"/>
  <printOptions horizontalCentered="1" verticalCentered="1"/>
  <pageMargins left="0.78740157480314965" right="0.19685039370078741" top="0.78740157480314965" bottom="0.51181102362204722" header="0.31496062992125984" footer="0"/>
  <pageSetup paperSize="9" scale="99" orientation="portrait" r:id="rId1"/>
  <headerFooter>
    <oddFooter>&amp;C&amp;8@2025 HNR Associates | https://hnrassociates.com&amp;R&amp;8Page &amp;P</oddFooter>
  </headerFooter>
  <rowBreaks count="8" manualBreakCount="8">
    <brk id="187" max="8" man="1"/>
    <brk id="233" max="8" man="1"/>
    <brk id="279" max="8" man="1"/>
    <brk id="325" max="8" man="1"/>
    <brk id="371" max="8" man="1"/>
    <brk id="509" max="8" man="1"/>
    <brk id="546" max="8" man="1"/>
    <brk id="59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Box Culvert Design</dc:title>
  <dc:subject>Only Single Cell</dc:subject>
  <dc:creator>harjot</dc:creator>
  <cp:keywords>With Cushion</cp:keywords>
  <dc:description>No Braking Force Effect so used only for Cushions </dc:description>
  <cp:lastModifiedBy>Harjot Singh</cp:lastModifiedBy>
  <cp:lastPrinted>2025-08-30T08:14:11Z</cp:lastPrinted>
  <dcterms:created xsi:type="dcterms:W3CDTF">2009-08-08T08:10:14Z</dcterms:created>
  <dcterms:modified xsi:type="dcterms:W3CDTF">2025-09-06T00:17:45Z</dcterms:modified>
  <cp:category>1/43/10</cp:category>
  <cp:contentStatus>Active</cp:contentStatus>
</cp:coreProperties>
</file>